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rac\Desktop\dokumenty\rok akademicki 2022_23\plany studiów\nabór 20-21\"/>
    </mc:Choice>
  </mc:AlternateContent>
  <xr:revisionPtr revIDLastSave="0" documentId="13_ncr:1_{6B33FE63-9208-4F98-8F30-BC103EC7677F}" xr6:coauthVersionLast="36" xr6:coauthVersionMax="36" xr10:uidLastSave="{00000000-0000-0000-0000-000000000000}"/>
  <bookViews>
    <workbookView xWindow="0" yWindow="0" windowWidth="21570" windowHeight="7980" tabRatio="601" activeTab="2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" sheetId="20" r:id="rId9"/>
    <sheet name="KRAUM" sheetId="16" state="hidden" r:id="rId10"/>
    <sheet name="FAKULTETY" sheetId="5" state="hidden" r:id="rId11"/>
  </sheets>
  <externalReferences>
    <externalReference r:id="rId12"/>
    <externalReference r:id="rId13"/>
  </externalReferences>
  <definedNames>
    <definedName name="_Toc382231539" localSheetId="9">KRAUM!$N$142</definedName>
    <definedName name="_Toc382231550" localSheetId="9">KRAUM!$B$111</definedName>
    <definedName name="_Toc382231561" localSheetId="9">KRAUM!$B$62</definedName>
    <definedName name="_xlnm.Print_Area" localSheetId="7">' razem plan'!$A$1:$K$137</definedName>
    <definedName name="_xlnm.Print_Area" localSheetId="0">'I rok'!$A$1:$AE$78</definedName>
    <definedName name="_xlnm.Print_Area" localSheetId="1">'II rok'!$A$1:$AE$97</definedName>
    <definedName name="_xlnm.Print_Area" localSheetId="2">'III rok'!$A$1:$AE$78</definedName>
    <definedName name="_xlnm.Print_Area" localSheetId="3">'IV rok'!$A$1:$AE$86</definedName>
    <definedName name="_xlnm.Print_Area" localSheetId="4">'V rok'!$A$1:$AE$124</definedName>
    <definedName name="_xlnm.Print_Area" localSheetId="5">'VI rok'!$A$1:$AE$43</definedName>
    <definedName name="_xlnm.Print_Titles" localSheetId="10">FAKULTETY!$3:$6</definedName>
    <definedName name="_xlnm.Print_Titles" localSheetId="8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9" refMode="R1C1"/>
</workbook>
</file>

<file path=xl/calcChain.xml><?xml version="1.0" encoding="utf-8"?>
<calcChain xmlns="http://schemas.openxmlformats.org/spreadsheetml/2006/main">
  <c r="AE30" i="13" l="1"/>
  <c r="AD30" i="13"/>
  <c r="AC30" i="13"/>
  <c r="AB30" i="13"/>
  <c r="AA30" i="13"/>
  <c r="Z30" i="13"/>
  <c r="Y30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AE24" i="13"/>
  <c r="AD24" i="13"/>
  <c r="AD26" i="13" s="1"/>
  <c r="AC24" i="13"/>
  <c r="AC26" i="13" s="1"/>
  <c r="AB24" i="13"/>
  <c r="AB26" i="13" s="1"/>
  <c r="AA24" i="13"/>
  <c r="AA26" i="13" s="1"/>
  <c r="Z24" i="13"/>
  <c r="Z26" i="13" s="1"/>
  <c r="AE77" i="11"/>
  <c r="AD77" i="11"/>
  <c r="AC77" i="11"/>
  <c r="AB77" i="11"/>
  <c r="AA77" i="11"/>
  <c r="Z77" i="11"/>
  <c r="Y77" i="11"/>
  <c r="AE74" i="11"/>
  <c r="AD74" i="11"/>
  <c r="AC74" i="11"/>
  <c r="AB74" i="11"/>
  <c r="AA74" i="11"/>
  <c r="Z74" i="11"/>
  <c r="Y74" i="11"/>
  <c r="Y24" i="13" l="1"/>
  <c r="Y26" i="13" s="1"/>
  <c r="K22" i="18"/>
  <c r="F22" i="18"/>
  <c r="G22" i="18"/>
  <c r="H22" i="18"/>
  <c r="I22" i="18"/>
  <c r="J22" i="18"/>
  <c r="C22" i="18"/>
  <c r="AD18" i="8"/>
  <c r="Z18" i="8"/>
  <c r="Y18" i="8" s="1"/>
  <c r="AC18" i="8"/>
  <c r="AB18" i="8"/>
  <c r="AA18" i="8"/>
  <c r="AE18" i="8"/>
  <c r="E22" i="18" l="1"/>
  <c r="C13" i="9"/>
  <c r="C20" i="8"/>
  <c r="C50" i="9"/>
  <c r="C21" i="18"/>
  <c r="C20" i="18"/>
  <c r="AE53" i="10"/>
  <c r="AD53" i="10"/>
  <c r="AC53" i="10"/>
  <c r="AB53" i="10"/>
  <c r="AA53" i="10"/>
  <c r="Z53" i="10"/>
  <c r="Y53" i="10"/>
  <c r="C52" i="8" l="1"/>
  <c r="C45" i="9"/>
  <c r="C47" i="9"/>
  <c r="C48" i="9"/>
  <c r="C49" i="9"/>
  <c r="C52" i="9"/>
  <c r="C53" i="9"/>
  <c r="C44" i="9"/>
  <c r="AE73" i="11" l="1"/>
  <c r="AD73" i="11"/>
  <c r="AA73" i="11"/>
  <c r="AE23" i="10" l="1"/>
  <c r="AD23" i="10"/>
  <c r="AC23" i="10"/>
  <c r="AB23" i="10"/>
  <c r="AA23" i="10"/>
  <c r="Z23" i="10"/>
  <c r="C23" i="10"/>
  <c r="Y23" i="10" l="1"/>
  <c r="AE60" i="8"/>
  <c r="AD60" i="8"/>
  <c r="AC60" i="8"/>
  <c r="AB60" i="8"/>
  <c r="AA60" i="8"/>
  <c r="Z60" i="8"/>
  <c r="Y60" i="8"/>
  <c r="Y44" i="4" l="1"/>
  <c r="E135" i="18" s="1"/>
  <c r="C135" i="18"/>
  <c r="C134" i="18"/>
  <c r="C133" i="18"/>
  <c r="Q45" i="4"/>
  <c r="R45" i="4"/>
  <c r="S45" i="4"/>
  <c r="T45" i="4"/>
  <c r="U45" i="4"/>
  <c r="V45" i="4"/>
  <c r="W45" i="4"/>
  <c r="X45" i="4"/>
  <c r="P45" i="4"/>
  <c r="I45" i="4"/>
  <c r="J45" i="4"/>
  <c r="K45" i="4"/>
  <c r="L45" i="4"/>
  <c r="M45" i="4"/>
  <c r="N45" i="4"/>
  <c r="H45" i="4"/>
  <c r="G13" i="4"/>
  <c r="AE43" i="4"/>
  <c r="AE44" i="4"/>
  <c r="K135" i="18" s="1"/>
  <c r="AE42" i="4"/>
  <c r="K133" i="18" s="1"/>
  <c r="AD43" i="4"/>
  <c r="J134" i="18" s="1"/>
  <c r="AD44" i="4"/>
  <c r="J135" i="18" s="1"/>
  <c r="AD42" i="4"/>
  <c r="J133" i="18" s="1"/>
  <c r="Y43" i="4"/>
  <c r="E134" i="18" s="1"/>
  <c r="Y42" i="4"/>
  <c r="E133" i="18" s="1"/>
  <c r="AC43" i="4"/>
  <c r="I134" i="18" s="1"/>
  <c r="AC44" i="4"/>
  <c r="I135" i="18" s="1"/>
  <c r="AC42" i="4"/>
  <c r="I133" i="18" s="1"/>
  <c r="AB43" i="4"/>
  <c r="AB44" i="4"/>
  <c r="H135" i="18" s="1"/>
  <c r="AB42" i="4"/>
  <c r="H133" i="18" s="1"/>
  <c r="AA43" i="4"/>
  <c r="G134" i="18" s="1"/>
  <c r="AA44" i="4"/>
  <c r="G135" i="18" s="1"/>
  <c r="Z43" i="4"/>
  <c r="F134" i="18" s="1"/>
  <c r="Z44" i="4"/>
  <c r="F135" i="18" s="1"/>
  <c r="AA42" i="4"/>
  <c r="G133" i="18" s="1"/>
  <c r="Z42" i="4"/>
  <c r="F133" i="18" s="1"/>
  <c r="G45" i="4"/>
  <c r="O45" i="4"/>
  <c r="O13" i="4"/>
  <c r="J136" i="18" l="1"/>
  <c r="I136" i="18"/>
  <c r="E136" i="18"/>
  <c r="AE45" i="4"/>
  <c r="F136" i="18"/>
  <c r="G136" i="18"/>
  <c r="AB45" i="4"/>
  <c r="Y45" i="4"/>
  <c r="H134" i="18"/>
  <c r="H136" i="18" s="1"/>
  <c r="K134" i="18"/>
  <c r="K136" i="18" s="1"/>
  <c r="AC45" i="4"/>
  <c r="AA45" i="4"/>
  <c r="AD45" i="4"/>
  <c r="Z45" i="4"/>
  <c r="C72" i="11"/>
  <c r="AE72" i="11" l="1"/>
  <c r="AE71" i="11"/>
  <c r="AD72" i="11"/>
  <c r="AD71" i="11"/>
  <c r="AC72" i="11"/>
  <c r="AC71" i="11"/>
  <c r="AB72" i="11"/>
  <c r="AB71" i="11"/>
  <c r="AA72" i="11"/>
  <c r="AA71" i="11"/>
  <c r="Z72" i="11"/>
  <c r="Z71" i="11"/>
  <c r="Y72" i="11"/>
  <c r="Y71" i="11"/>
  <c r="C50" i="8" l="1"/>
  <c r="C11" i="8" l="1"/>
  <c r="H101" i="18" l="1"/>
  <c r="AE46" i="9" l="1"/>
  <c r="AE45" i="9"/>
  <c r="AD46" i="9"/>
  <c r="AD45" i="9"/>
  <c r="AC46" i="9"/>
  <c r="AC45" i="9"/>
  <c r="AB46" i="9"/>
  <c r="AB45" i="9"/>
  <c r="AA46" i="9"/>
  <c r="AA45" i="9"/>
  <c r="Z46" i="9"/>
  <c r="Z45" i="9"/>
  <c r="Y46" i="9"/>
  <c r="Y47" i="9"/>
  <c r="AE36" i="9"/>
  <c r="AE35" i="9"/>
  <c r="AD36" i="9"/>
  <c r="AD35" i="9"/>
  <c r="Z34" i="9"/>
  <c r="Z33" i="9"/>
  <c r="AC36" i="9"/>
  <c r="AC34" i="9"/>
  <c r="AC35" i="9"/>
  <c r="AB36" i="9"/>
  <c r="AB35" i="9"/>
  <c r="AA36" i="9"/>
  <c r="AA35" i="9"/>
  <c r="Z36" i="9"/>
  <c r="Z35" i="9"/>
  <c r="AE34" i="9"/>
  <c r="AE33" i="9"/>
  <c r="AD34" i="9"/>
  <c r="AD33" i="9"/>
  <c r="AA34" i="9"/>
  <c r="AA33" i="9"/>
  <c r="Y35" i="9" l="1"/>
  <c r="Y34" i="9"/>
  <c r="Y36" i="9"/>
  <c r="D26" i="20" l="1"/>
  <c r="D65" i="20"/>
  <c r="C63" i="20"/>
  <c r="F63" i="20"/>
  <c r="Y63" i="20"/>
  <c r="AE63" i="20"/>
  <c r="C58" i="11" l="1"/>
  <c r="D8" i="20" l="1"/>
  <c r="AE8" i="20"/>
  <c r="AF8" i="20"/>
  <c r="Z47" i="9" l="1"/>
  <c r="AA47" i="9"/>
  <c r="AB47" i="9"/>
  <c r="AC47" i="9"/>
  <c r="AD47" i="9"/>
  <c r="AE47" i="9"/>
  <c r="Y53" i="9"/>
  <c r="Z53" i="9"/>
  <c r="AA53" i="9"/>
  <c r="AB53" i="9"/>
  <c r="AC53" i="9"/>
  <c r="AD53" i="9"/>
  <c r="AE53" i="9"/>
  <c r="AB39" i="4"/>
  <c r="AB38" i="4"/>
  <c r="S14" i="9" l="1"/>
  <c r="R14" i="9"/>
  <c r="Q14" i="9"/>
  <c r="P14" i="9"/>
  <c r="J14" i="9"/>
  <c r="I14" i="9"/>
  <c r="G14" i="9"/>
  <c r="H14" i="9"/>
  <c r="X14" i="9" l="1"/>
  <c r="O14" i="9"/>
  <c r="K14" i="9" l="1"/>
  <c r="L14" i="9"/>
  <c r="M14" i="9"/>
  <c r="N14" i="9"/>
  <c r="T14" i="9"/>
  <c r="U14" i="9"/>
  <c r="V14" i="9"/>
  <c r="W14" i="9"/>
  <c r="C18" i="4"/>
  <c r="C16" i="18"/>
  <c r="Y51" i="8" l="1"/>
  <c r="Y52" i="8"/>
  <c r="Y53" i="8"/>
  <c r="Y54" i="8"/>
  <c r="Y55" i="8"/>
  <c r="Y56" i="8"/>
  <c r="Y57" i="8"/>
  <c r="Y58" i="8"/>
  <c r="Y59" i="8"/>
  <c r="AE51" i="8"/>
  <c r="AE52" i="8"/>
  <c r="AE53" i="8"/>
  <c r="AE54" i="8"/>
  <c r="AE55" i="8"/>
  <c r="AE56" i="8"/>
  <c r="AE57" i="8"/>
  <c r="AE58" i="8"/>
  <c r="AE59" i="8"/>
  <c r="AD51" i="8"/>
  <c r="AD52" i="8"/>
  <c r="AD53" i="8"/>
  <c r="AD54" i="8"/>
  <c r="AD55" i="8"/>
  <c r="AD56" i="8"/>
  <c r="AD57" i="8"/>
  <c r="AD58" i="8"/>
  <c r="AD59" i="8"/>
  <c r="AC51" i="8"/>
  <c r="AC52" i="8"/>
  <c r="AC53" i="8"/>
  <c r="AC54" i="8"/>
  <c r="AC55" i="8"/>
  <c r="AC56" i="8"/>
  <c r="AC57" i="8"/>
  <c r="AC58" i="8"/>
  <c r="AC59" i="8"/>
  <c r="AB51" i="8"/>
  <c r="AB52" i="8"/>
  <c r="AB53" i="8"/>
  <c r="AB54" i="8"/>
  <c r="AB55" i="8"/>
  <c r="AB56" i="8"/>
  <c r="AB57" i="8"/>
  <c r="AB58" i="8"/>
  <c r="AB59" i="8"/>
  <c r="AA51" i="8"/>
  <c r="AA52" i="8"/>
  <c r="AA53" i="8"/>
  <c r="AA54" i="8"/>
  <c r="AA55" i="8"/>
  <c r="AA56" i="8"/>
  <c r="AA57" i="8"/>
  <c r="AA58" i="8"/>
  <c r="AA59" i="8"/>
  <c r="Z51" i="8"/>
  <c r="Z52" i="8"/>
  <c r="Z53" i="8"/>
  <c r="Z54" i="8"/>
  <c r="Z55" i="8"/>
  <c r="Z56" i="8"/>
  <c r="Z57" i="8"/>
  <c r="Z58" i="8"/>
  <c r="Z59" i="8"/>
  <c r="Z50" i="8"/>
  <c r="H36" i="4" l="1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G36" i="4"/>
  <c r="H45" i="8" l="1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G45" i="8"/>
  <c r="AE44" i="8"/>
  <c r="AD44" i="8"/>
  <c r="AC44" i="8"/>
  <c r="AB44" i="8"/>
  <c r="AA44" i="8"/>
  <c r="Z44" i="8"/>
  <c r="Y44" i="8" l="1"/>
  <c r="Z70" i="11"/>
  <c r="AA70" i="11"/>
  <c r="AB70" i="11"/>
  <c r="AC70" i="11"/>
  <c r="AD70" i="11"/>
  <c r="AE70" i="11"/>
  <c r="Y70" i="11" l="1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AE24" i="8" l="1"/>
  <c r="AE23" i="8"/>
  <c r="AE17" i="9" l="1"/>
  <c r="AD17" i="9"/>
  <c r="AC17" i="9"/>
  <c r="AB17" i="9"/>
  <c r="AA17" i="9"/>
  <c r="Z17" i="9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E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AE37" i="9"/>
  <c r="AE38" i="9"/>
  <c r="AD37" i="9"/>
  <c r="AD38" i="9"/>
  <c r="AC33" i="9"/>
  <c r="AC37" i="9"/>
  <c r="AC38" i="9"/>
  <c r="AB33" i="9"/>
  <c r="AB37" i="9"/>
  <c r="AB38" i="9"/>
  <c r="AA37" i="9"/>
  <c r="AA38" i="9"/>
  <c r="Y33" i="9"/>
  <c r="Z37" i="9"/>
  <c r="Z38" i="9"/>
  <c r="AC35" i="10"/>
  <c r="AC36" i="10"/>
  <c r="AC37" i="10"/>
  <c r="AC38" i="10"/>
  <c r="AC39" i="10"/>
  <c r="AC34" i="10"/>
  <c r="AB35" i="10"/>
  <c r="AB36" i="10"/>
  <c r="AB37" i="10"/>
  <c r="AB38" i="10"/>
  <c r="AB39" i="10"/>
  <c r="AB34" i="10"/>
  <c r="AC28" i="10"/>
  <c r="AC27" i="10"/>
  <c r="Z28" i="10"/>
  <c r="Z27" i="10"/>
  <c r="AC22" i="10"/>
  <c r="AC24" i="10"/>
  <c r="AC21" i="10"/>
  <c r="AD12" i="10"/>
  <c r="AD13" i="10"/>
  <c r="AD14" i="10"/>
  <c r="AD15" i="10"/>
  <c r="AD16" i="10"/>
  <c r="AD17" i="10"/>
  <c r="AD18" i="10"/>
  <c r="AD11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AD44" i="11"/>
  <c r="AD46" i="11"/>
  <c r="AD47" i="11"/>
  <c r="AD43" i="11"/>
  <c r="AD37" i="11"/>
  <c r="J93" i="18" s="1"/>
  <c r="AD36" i="11"/>
  <c r="J92" i="18" s="1"/>
  <c r="AD33" i="11"/>
  <c r="AD32" i="11"/>
  <c r="AD21" i="11"/>
  <c r="AD22" i="11"/>
  <c r="AD23" i="11"/>
  <c r="AD24" i="11"/>
  <c r="AD25" i="11"/>
  <c r="AD26" i="11"/>
  <c r="AD27" i="11"/>
  <c r="AD28" i="11"/>
  <c r="AD29" i="11"/>
  <c r="AD20" i="11"/>
  <c r="AE11" i="11"/>
  <c r="AD11" i="11"/>
  <c r="AC11" i="11"/>
  <c r="AB11" i="11"/>
  <c r="AA11" i="11"/>
  <c r="Z11" i="11"/>
  <c r="Y37" i="9" l="1"/>
  <c r="Y17" i="9"/>
  <c r="Y38" i="9"/>
  <c r="AD19" i="10"/>
  <c r="Y11" i="11"/>
  <c r="S34" i="11"/>
  <c r="X18" i="11"/>
  <c r="W18" i="11"/>
  <c r="V18" i="11"/>
  <c r="U18" i="11"/>
  <c r="O18" i="11"/>
  <c r="N18" i="11"/>
  <c r="M18" i="11"/>
  <c r="L18" i="11"/>
  <c r="AE12" i="11"/>
  <c r="AC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I22" i="13"/>
  <c r="H22" i="13"/>
  <c r="G22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G18" i="11" l="1"/>
  <c r="H18" i="11"/>
  <c r="I18" i="11"/>
  <c r="J18" i="11"/>
  <c r="K18" i="11"/>
  <c r="P18" i="11"/>
  <c r="Q18" i="11"/>
  <c r="R18" i="11"/>
  <c r="S18" i="11"/>
  <c r="T18" i="11"/>
  <c r="Z41" i="8" l="1"/>
  <c r="Z42" i="8"/>
  <c r="Z43" i="8"/>
  <c r="Z36" i="8"/>
  <c r="F100" i="18" s="1"/>
  <c r="Z37" i="8"/>
  <c r="F101" i="18" s="1"/>
  <c r="Z33" i="8"/>
  <c r="Z28" i="8"/>
  <c r="Z29" i="8"/>
  <c r="Z24" i="8"/>
  <c r="Z17" i="8"/>
  <c r="Z19" i="8"/>
  <c r="Z20" i="8"/>
  <c r="Z12" i="8"/>
  <c r="Z13" i="8"/>
  <c r="AA41" i="8"/>
  <c r="AA42" i="8"/>
  <c r="AA43" i="8"/>
  <c r="AA36" i="8"/>
  <c r="AA37" i="8"/>
  <c r="AA33" i="8"/>
  <c r="AA28" i="8"/>
  <c r="AA29" i="8"/>
  <c r="AA24" i="8"/>
  <c r="AA17" i="8"/>
  <c r="AA19" i="8"/>
  <c r="AA20" i="8"/>
  <c r="AA12" i="8"/>
  <c r="AA13" i="8"/>
  <c r="AB41" i="8"/>
  <c r="AB42" i="8"/>
  <c r="AB43" i="8"/>
  <c r="AB36" i="8"/>
  <c r="AB37" i="8"/>
  <c r="AB33" i="8"/>
  <c r="H88" i="18" s="1"/>
  <c r="AB28" i="8"/>
  <c r="AB29" i="8"/>
  <c r="AB24" i="8"/>
  <c r="AB17" i="8"/>
  <c r="AB19" i="8"/>
  <c r="AB20" i="8"/>
  <c r="AC24" i="8"/>
  <c r="AC17" i="8"/>
  <c r="AC19" i="8"/>
  <c r="AC20" i="8"/>
  <c r="AD24" i="8"/>
  <c r="AD17" i="8"/>
  <c r="AD19" i="8"/>
  <c r="AD20" i="8"/>
  <c r="AA39" i="4"/>
  <c r="AA38" i="4"/>
  <c r="I21" i="18" l="1"/>
  <c r="Y17" i="8"/>
  <c r="Y24" i="8"/>
  <c r="Y20" i="8"/>
  <c r="Y19" i="8"/>
  <c r="J51" i="18"/>
  <c r="Z11" i="9" l="1"/>
  <c r="AA11" i="9"/>
  <c r="AD11" i="9"/>
  <c r="X25" i="10" l="1"/>
  <c r="O25" i="10"/>
  <c r="Z15" i="11" l="1"/>
  <c r="AA15" i="11"/>
  <c r="AB15" i="11"/>
  <c r="AC15" i="11"/>
  <c r="AD15" i="11"/>
  <c r="J40" i="18" s="1"/>
  <c r="AE15" i="11"/>
  <c r="Z14" i="11"/>
  <c r="AA14" i="11"/>
  <c r="AB14" i="11"/>
  <c r="AC14" i="11"/>
  <c r="AD14" i="11"/>
  <c r="AE14" i="11"/>
  <c r="Y15" i="11" l="1"/>
  <c r="Y14" i="11"/>
  <c r="G101" i="18"/>
  <c r="G100" i="18"/>
  <c r="F70" i="18"/>
  <c r="F71" i="18"/>
  <c r="G70" i="18"/>
  <c r="G71" i="18"/>
  <c r="H70" i="18"/>
  <c r="H71" i="18"/>
  <c r="I66" i="18"/>
  <c r="I54" i="18" l="1"/>
  <c r="J49" i="18" l="1"/>
  <c r="J48" i="18"/>
  <c r="J44" i="18"/>
  <c r="J45" i="18"/>
  <c r="J43" i="18" l="1"/>
  <c r="F36" i="18" l="1"/>
  <c r="G36" i="18"/>
  <c r="H36" i="18"/>
  <c r="I36" i="18"/>
  <c r="J36" i="18"/>
  <c r="K36" i="18"/>
  <c r="F26" i="18"/>
  <c r="G26" i="18"/>
  <c r="H26" i="18"/>
  <c r="I26" i="18"/>
  <c r="J26" i="18"/>
  <c r="K26" i="18"/>
  <c r="F21" i="18"/>
  <c r="F23" i="18"/>
  <c r="G21" i="18"/>
  <c r="G23" i="18"/>
  <c r="H21" i="18"/>
  <c r="H23" i="18"/>
  <c r="I23" i="18"/>
  <c r="J21" i="18"/>
  <c r="J23" i="18"/>
  <c r="E21" i="18" l="1"/>
  <c r="E23" i="18"/>
  <c r="E36" i="18"/>
  <c r="E26" i="18"/>
  <c r="F17" i="18"/>
  <c r="H17" i="18"/>
  <c r="I17" i="18"/>
  <c r="K17" i="18"/>
  <c r="F14" i="18" l="1"/>
  <c r="G14" i="18" l="1"/>
  <c r="G13" i="18"/>
  <c r="Z32" i="4" l="1"/>
  <c r="AA32" i="4"/>
  <c r="AB32" i="4"/>
  <c r="AC32" i="4"/>
  <c r="AD32" i="4"/>
  <c r="AE32" i="4"/>
  <c r="Z29" i="4"/>
  <c r="Z30" i="4" s="1"/>
  <c r="AA29" i="4"/>
  <c r="AA30" i="4" s="1"/>
  <c r="AB29" i="4"/>
  <c r="AC29" i="4"/>
  <c r="AC30" i="4" s="1"/>
  <c r="AD29" i="4"/>
  <c r="AE29" i="4"/>
  <c r="Z22" i="4"/>
  <c r="F31" i="18" s="1"/>
  <c r="Z23" i="4"/>
  <c r="F32" i="18" s="1"/>
  <c r="Z24" i="4"/>
  <c r="F33" i="18" s="1"/>
  <c r="Z25" i="4"/>
  <c r="F34" i="18" s="1"/>
  <c r="Z26" i="4"/>
  <c r="AA22" i="4"/>
  <c r="G31" i="18" s="1"/>
  <c r="AA23" i="4"/>
  <c r="G32" i="18" s="1"/>
  <c r="AA24" i="4"/>
  <c r="G33" i="18" s="1"/>
  <c r="AA25" i="4"/>
  <c r="G34" i="18" s="1"/>
  <c r="AA26" i="4"/>
  <c r="AB22" i="4"/>
  <c r="H31" i="18" s="1"/>
  <c r="AB23" i="4"/>
  <c r="H32" i="18" s="1"/>
  <c r="AB24" i="4"/>
  <c r="H33" i="18" s="1"/>
  <c r="AB25" i="4"/>
  <c r="H34" i="18" s="1"/>
  <c r="AB26" i="4"/>
  <c r="H35" i="18" s="1"/>
  <c r="AC22" i="4"/>
  <c r="I31" i="18" s="1"/>
  <c r="AC23" i="4"/>
  <c r="I32" i="18" s="1"/>
  <c r="AC24" i="4"/>
  <c r="I33" i="18" s="1"/>
  <c r="AC25" i="4"/>
  <c r="I34" i="18" s="1"/>
  <c r="AC26" i="4"/>
  <c r="AD22" i="4"/>
  <c r="J31" i="18" s="1"/>
  <c r="AD23" i="4"/>
  <c r="J32" i="18" s="1"/>
  <c r="AD24" i="4"/>
  <c r="J33" i="18" s="1"/>
  <c r="AD25" i="4"/>
  <c r="J34" i="18" s="1"/>
  <c r="AD26" i="4"/>
  <c r="AE22" i="4"/>
  <c r="K31" i="18" s="1"/>
  <c r="AE23" i="4"/>
  <c r="K32" i="18" s="1"/>
  <c r="AE24" i="4"/>
  <c r="K33" i="18" s="1"/>
  <c r="AE25" i="4"/>
  <c r="K34" i="18" s="1"/>
  <c r="AE26" i="4"/>
  <c r="K35" i="18" s="1"/>
  <c r="Z21" i="4"/>
  <c r="AA21" i="4"/>
  <c r="AB21" i="4"/>
  <c r="AC21" i="4"/>
  <c r="AD21" i="4"/>
  <c r="AE21" i="4"/>
  <c r="Z16" i="4"/>
  <c r="F12" i="18" s="1"/>
  <c r="Z17" i="4"/>
  <c r="F15" i="18" s="1"/>
  <c r="Z18" i="4"/>
  <c r="F16" i="18" s="1"/>
  <c r="AA16" i="4"/>
  <c r="G12" i="18" s="1"/>
  <c r="AA17" i="4"/>
  <c r="G15" i="18" s="1"/>
  <c r="AA18" i="4"/>
  <c r="G16" i="18" s="1"/>
  <c r="AB16" i="4"/>
  <c r="H12" i="18" s="1"/>
  <c r="AB17" i="4"/>
  <c r="H15" i="18" s="1"/>
  <c r="AB18" i="4"/>
  <c r="H16" i="18" s="1"/>
  <c r="AC16" i="4"/>
  <c r="I12" i="18" s="1"/>
  <c r="AC17" i="4"/>
  <c r="I15" i="18" s="1"/>
  <c r="AC18" i="4"/>
  <c r="I16" i="18" s="1"/>
  <c r="AD16" i="4"/>
  <c r="J12" i="18" s="1"/>
  <c r="AD17" i="4"/>
  <c r="J15" i="18" s="1"/>
  <c r="AD18" i="4"/>
  <c r="J16" i="18" s="1"/>
  <c r="AE16" i="4"/>
  <c r="K12" i="18" s="1"/>
  <c r="AE17" i="4"/>
  <c r="K15" i="18" s="1"/>
  <c r="AE18" i="4"/>
  <c r="K16" i="18" s="1"/>
  <c r="Z15" i="4"/>
  <c r="AA15" i="4"/>
  <c r="AB15" i="4"/>
  <c r="H11" i="18" s="1"/>
  <c r="AC15" i="4"/>
  <c r="AD15" i="4"/>
  <c r="AE15" i="4"/>
  <c r="Z12" i="4"/>
  <c r="F7" i="18" s="1"/>
  <c r="Z11" i="4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AE30" i="4" l="1"/>
  <c r="K86" i="18"/>
  <c r="AD30" i="4"/>
  <c r="J86" i="18"/>
  <c r="AB30" i="4"/>
  <c r="H86" i="18"/>
  <c r="AC19" i="4"/>
  <c r="Z13" i="4"/>
  <c r="Y11" i="4"/>
  <c r="K96" i="18"/>
  <c r="J96" i="18"/>
  <c r="G96" i="18"/>
  <c r="E96" i="18" s="1"/>
  <c r="AB13" i="4"/>
  <c r="E12" i="18"/>
  <c r="AE19" i="4"/>
  <c r="Y15" i="4"/>
  <c r="Y26" i="4"/>
  <c r="E34" i="18"/>
  <c r="Y32" i="4"/>
  <c r="AD19" i="4"/>
  <c r="Z19" i="4"/>
  <c r="AD13" i="4"/>
  <c r="AC13" i="4"/>
  <c r="E15" i="18"/>
  <c r="Y16" i="4"/>
  <c r="AB19" i="4"/>
  <c r="AE27" i="4"/>
  <c r="K30" i="18"/>
  <c r="K37" i="18" s="1"/>
  <c r="AA27" i="4"/>
  <c r="G30" i="18"/>
  <c r="E31" i="18"/>
  <c r="Y23" i="4"/>
  <c r="Y29" i="4"/>
  <c r="F6" i="18"/>
  <c r="F8" i="18" s="1"/>
  <c r="K11" i="18"/>
  <c r="G11" i="18"/>
  <c r="AA13" i="4"/>
  <c r="AA19" i="4"/>
  <c r="AD27" i="4"/>
  <c r="J30" i="18"/>
  <c r="Z27" i="4"/>
  <c r="F30" i="18"/>
  <c r="Y22" i="4"/>
  <c r="J7" i="18"/>
  <c r="J8" i="18" s="1"/>
  <c r="J11" i="18"/>
  <c r="F11" i="18"/>
  <c r="Y12" i="4"/>
  <c r="AE13" i="4"/>
  <c r="Y18" i="4"/>
  <c r="AC27" i="4"/>
  <c r="I30" i="18"/>
  <c r="Y21" i="4"/>
  <c r="E33" i="18"/>
  <c r="Y25" i="4"/>
  <c r="I11" i="18"/>
  <c r="E16" i="18"/>
  <c r="Y17" i="4"/>
  <c r="AB27" i="4"/>
  <c r="H30" i="18"/>
  <c r="H37" i="18" s="1"/>
  <c r="E32" i="18"/>
  <c r="Y24" i="4"/>
  <c r="H8" i="18"/>
  <c r="K8" i="18"/>
  <c r="I8" i="18"/>
  <c r="E7" i="18"/>
  <c r="G8" i="18"/>
  <c r="Y30" i="4" l="1"/>
  <c r="E86" i="18"/>
  <c r="E11" i="18"/>
  <c r="Y27" i="4"/>
  <c r="E6" i="18"/>
  <c r="E8" i="18" s="1"/>
  <c r="Y19" i="4"/>
  <c r="E30" i="18"/>
  <c r="Y13" i="4"/>
  <c r="C50" i="4"/>
  <c r="C51" i="4"/>
  <c r="AE50" i="4"/>
  <c r="AD50" i="4"/>
  <c r="AC50" i="4"/>
  <c r="AB50" i="4"/>
  <c r="AA50" i="4"/>
  <c r="Z50" i="4"/>
  <c r="Y50" i="4"/>
  <c r="C54" i="8" l="1"/>
  <c r="D17" i="20" l="1"/>
  <c r="B43" i="20" l="1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3" i="8" l="1"/>
  <c r="C58" i="8"/>
  <c r="D21" i="20" s="1"/>
  <c r="C53" i="8" l="1"/>
  <c r="D16" i="20" s="1"/>
  <c r="C41" i="18"/>
  <c r="Y12" i="11" l="1"/>
  <c r="G17" i="18" l="1"/>
  <c r="E17" i="18" s="1"/>
  <c r="AA12" i="11"/>
  <c r="J17" i="18"/>
  <c r="AD12" i="11"/>
  <c r="Q34" i="11" l="1"/>
  <c r="C88" i="14" l="1"/>
  <c r="G38" i="8" l="1"/>
  <c r="C99" i="18"/>
  <c r="C98" i="18"/>
  <c r="C35" i="18"/>
  <c r="I94" i="18"/>
  <c r="G94" i="18"/>
  <c r="F94" i="18"/>
  <c r="C93" i="18"/>
  <c r="C92" i="18"/>
  <c r="C91" i="18"/>
  <c r="C90" i="18"/>
  <c r="C89" i="18"/>
  <c r="C88" i="18"/>
  <c r="C87" i="18"/>
  <c r="C86" i="18"/>
  <c r="C83" i="18"/>
  <c r="C82" i="18"/>
  <c r="C81" i="18"/>
  <c r="C80" i="18"/>
  <c r="C79" i="18"/>
  <c r="C78" i="18"/>
  <c r="C77" i="18"/>
  <c r="C76" i="18"/>
  <c r="C73" i="18"/>
  <c r="C72" i="18"/>
  <c r="C71" i="18"/>
  <c r="C70" i="18"/>
  <c r="C69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1" i="18"/>
  <c r="C50" i="18"/>
  <c r="C49" i="18"/>
  <c r="C48" i="18"/>
  <c r="C47" i="18"/>
  <c r="C46" i="18"/>
  <c r="C45" i="18"/>
  <c r="C44" i="18"/>
  <c r="C43" i="18"/>
  <c r="C42" i="18"/>
  <c r="C40" i="18"/>
  <c r="C39" i="18"/>
  <c r="C34" i="18"/>
  <c r="C33" i="18"/>
  <c r="C32" i="18"/>
  <c r="C31" i="18"/>
  <c r="C30" i="18"/>
  <c r="C25" i="18"/>
  <c r="C12" i="9" s="1"/>
  <c r="C24" i="18"/>
  <c r="C11" i="9" s="1"/>
  <c r="C23" i="18"/>
  <c r="C19" i="8" s="1"/>
  <c r="C15" i="18"/>
  <c r="C17" i="4" s="1"/>
  <c r="C14" i="18"/>
  <c r="C13" i="18"/>
  <c r="C12" i="18"/>
  <c r="C11" i="18"/>
  <c r="C7" i="18"/>
  <c r="C6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4" i="18" s="1"/>
  <c r="AB21" i="10"/>
  <c r="H54" i="18" s="1"/>
  <c r="AA21" i="10"/>
  <c r="G54" i="18" s="1"/>
  <c r="Z21" i="10"/>
  <c r="Y21" i="10" l="1"/>
  <c r="F54" i="18"/>
  <c r="E54" i="18" s="1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AE21" i="13"/>
  <c r="AE22" i="13" s="1"/>
  <c r="AD21" i="13"/>
  <c r="AD22" i="13" s="1"/>
  <c r="AC21" i="13"/>
  <c r="AC22" i="13" s="1"/>
  <c r="AB21" i="13"/>
  <c r="AB22" i="13" s="1"/>
  <c r="AA21" i="13"/>
  <c r="AA22" i="13" s="1"/>
  <c r="Z21" i="13"/>
  <c r="Z22" i="13" s="1"/>
  <c r="Y21" i="13"/>
  <c r="Y22" i="13" s="1"/>
  <c r="C21" i="13"/>
  <c r="C76" i="14" l="1"/>
  <c r="C16" i="13" s="1"/>
  <c r="C24" i="11"/>
  <c r="C25" i="11"/>
  <c r="C26" i="11"/>
  <c r="C27" i="11"/>
  <c r="C28" i="11"/>
  <c r="C29" i="11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8" s="1"/>
  <c r="C13" i="14"/>
  <c r="C12" i="8" s="1"/>
  <c r="C12" i="14"/>
  <c r="C16" i="4" s="1"/>
  <c r="C11" i="14"/>
  <c r="C15" i="4" s="1"/>
  <c r="C95" i="14"/>
  <c r="C94" i="14"/>
  <c r="C93" i="14"/>
  <c r="C92" i="14"/>
  <c r="C96" i="14"/>
  <c r="C36" i="14"/>
  <c r="C41" i="14"/>
  <c r="C17" i="11" s="1"/>
  <c r="C42" i="14"/>
  <c r="C19" i="9" s="1"/>
  <c r="C43" i="14"/>
  <c r="C16" i="10" s="1"/>
  <c r="C45" i="14"/>
  <c r="C20" i="9" s="1"/>
  <c r="C46" i="14"/>
  <c r="C18" i="10" s="1"/>
  <c r="C49" i="14"/>
  <c r="C61" i="14"/>
  <c r="C24" i="10" s="1"/>
  <c r="C60" i="14"/>
  <c r="C59" i="14"/>
  <c r="C58" i="14"/>
  <c r="C57" i="14"/>
  <c r="C56" i="14"/>
  <c r="C55" i="14"/>
  <c r="C54" i="14"/>
  <c r="C50" i="14"/>
  <c r="C53" i="14"/>
  <c r="C52" i="14"/>
  <c r="C22" i="11" s="1"/>
  <c r="C51" i="14"/>
  <c r="C21" i="11" s="1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C71" i="11"/>
  <c r="D64" i="20" s="1"/>
  <c r="AF61" i="5"/>
  <c r="AE61" i="5"/>
  <c r="AA61" i="5"/>
  <c r="Z61" i="5"/>
  <c r="D63" i="20"/>
  <c r="AE69" i="11"/>
  <c r="AF60" i="5" s="1"/>
  <c r="AD69" i="11"/>
  <c r="AE60" i="5" s="1"/>
  <c r="AC69" i="11"/>
  <c r="AB69" i="11"/>
  <c r="AA69" i="11"/>
  <c r="Z69" i="11"/>
  <c r="AA60" i="5" s="1"/>
  <c r="Y69" i="11"/>
  <c r="Z60" i="5" s="1"/>
  <c r="C69" i="11"/>
  <c r="AE68" i="11"/>
  <c r="AF59" i="5" s="1"/>
  <c r="AD68" i="11"/>
  <c r="AE59" i="5" s="1"/>
  <c r="AC68" i="11"/>
  <c r="AB68" i="11"/>
  <c r="AA68" i="11"/>
  <c r="Z68" i="11"/>
  <c r="AA59" i="5" s="1"/>
  <c r="Y68" i="11"/>
  <c r="Z59" i="5" s="1"/>
  <c r="C68" i="11"/>
  <c r="C18" i="9" l="1"/>
  <c r="C17" i="9"/>
  <c r="D63" i="5"/>
  <c r="D66" i="20"/>
  <c r="D60" i="5"/>
  <c r="D62" i="20"/>
  <c r="D61" i="5"/>
  <c r="D59" i="5"/>
  <c r="D61" i="20"/>
  <c r="C66" i="8"/>
  <c r="C65" i="8"/>
  <c r="C64" i="8"/>
  <c r="C63" i="8"/>
  <c r="C67" i="8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AE18" i="13"/>
  <c r="K83" i="18" s="1"/>
  <c r="AD18" i="13"/>
  <c r="J83" i="18" s="1"/>
  <c r="AC18" i="13"/>
  <c r="I83" i="18" s="1"/>
  <c r="AB18" i="13"/>
  <c r="H83" i="18" s="1"/>
  <c r="AA18" i="13"/>
  <c r="G83" i="18" s="1"/>
  <c r="Z18" i="13"/>
  <c r="F83" i="18" s="1"/>
  <c r="Y18" i="13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G48" i="11"/>
  <c r="AE47" i="11"/>
  <c r="AC47" i="11"/>
  <c r="AB47" i="11"/>
  <c r="AA47" i="11"/>
  <c r="Z47" i="11"/>
  <c r="K99" i="14"/>
  <c r="Y47" i="11" l="1"/>
  <c r="E83" i="18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AB27" i="11"/>
  <c r="H62" i="18" s="1"/>
  <c r="C72" i="14"/>
  <c r="C12" i="13" s="1"/>
  <c r="C73" i="14"/>
  <c r="C13" i="13" s="1"/>
  <c r="C74" i="14"/>
  <c r="C14" i="13" s="1"/>
  <c r="C75" i="14"/>
  <c r="C15" i="13" s="1"/>
  <c r="C77" i="14"/>
  <c r="C17" i="13" s="1"/>
  <c r="C78" i="14"/>
  <c r="C18" i="13" s="1"/>
  <c r="C71" i="14"/>
  <c r="C11" i="13" s="1"/>
  <c r="C82" i="14"/>
  <c r="C83" i="14"/>
  <c r="C84" i="14"/>
  <c r="C85" i="14"/>
  <c r="C86" i="14"/>
  <c r="C87" i="14"/>
  <c r="C81" i="14"/>
  <c r="C65" i="14"/>
  <c r="C28" i="8" s="1"/>
  <c r="C66" i="14"/>
  <c r="C29" i="8" s="1"/>
  <c r="C67" i="14"/>
  <c r="C68" i="14"/>
  <c r="C64" i="14"/>
  <c r="C27" i="8" s="1"/>
  <c r="C21" i="14"/>
  <c r="C22" i="14"/>
  <c r="C23" i="14"/>
  <c r="C24" i="14"/>
  <c r="C25" i="14"/>
  <c r="C20" i="14"/>
  <c r="C16" i="8" s="1"/>
  <c r="C10" i="14"/>
  <c r="C7" i="14"/>
  <c r="C12" i="4" s="1"/>
  <c r="C6" i="14"/>
  <c r="C11" i="4" s="1"/>
  <c r="C29" i="14"/>
  <c r="C22" i="4" s="1"/>
  <c r="C30" i="14"/>
  <c r="C23" i="4" s="1"/>
  <c r="C31" i="14"/>
  <c r="C24" i="4" s="1"/>
  <c r="C32" i="14"/>
  <c r="C25" i="4" s="1"/>
  <c r="C28" i="14"/>
  <c r="C21" i="4" s="1"/>
  <c r="C37" i="14"/>
  <c r="C16" i="11" s="1"/>
  <c r="C38" i="14"/>
  <c r="C39" i="14"/>
  <c r="C40" i="14"/>
  <c r="C44" i="14"/>
  <c r="C35" i="14"/>
  <c r="C16" i="9" s="1"/>
  <c r="C91" i="14"/>
  <c r="K128" i="14" l="1"/>
  <c r="F128" i="14"/>
  <c r="I128" i="14"/>
  <c r="E128" i="14"/>
  <c r="J128" i="14"/>
  <c r="H128" i="14"/>
  <c r="G128" i="14"/>
  <c r="C45" i="10"/>
  <c r="C52" i="4"/>
  <c r="D10" i="5"/>
  <c r="D9" i="5"/>
  <c r="D33" i="5" l="1"/>
  <c r="D35" i="20"/>
  <c r="D13" i="5"/>
  <c r="D25" i="20"/>
  <c r="D11" i="5"/>
  <c r="D10" i="20"/>
  <c r="D12" i="5"/>
  <c r="D11" i="20"/>
  <c r="AE12" i="13"/>
  <c r="K77" i="18" s="1"/>
  <c r="AE13" i="13"/>
  <c r="K78" i="18" s="1"/>
  <c r="AE14" i="13"/>
  <c r="K79" i="18" s="1"/>
  <c r="AE15" i="13"/>
  <c r="K80" i="18" s="1"/>
  <c r="AE16" i="13"/>
  <c r="K81" i="18" s="1"/>
  <c r="AE17" i="13"/>
  <c r="K82" i="18" s="1"/>
  <c r="AD12" i="13"/>
  <c r="J77" i="18" s="1"/>
  <c r="AD13" i="13"/>
  <c r="J78" i="18" s="1"/>
  <c r="AD14" i="13"/>
  <c r="J79" i="18" s="1"/>
  <c r="AD15" i="13"/>
  <c r="J80" i="18" s="1"/>
  <c r="AD16" i="13"/>
  <c r="J81" i="18" s="1"/>
  <c r="AD17" i="13"/>
  <c r="J82" i="18" s="1"/>
  <c r="AC12" i="13"/>
  <c r="I77" i="18" s="1"/>
  <c r="AC13" i="13"/>
  <c r="I78" i="18" s="1"/>
  <c r="AC14" i="13"/>
  <c r="I79" i="18" s="1"/>
  <c r="AC15" i="13"/>
  <c r="I80" i="18" s="1"/>
  <c r="AC16" i="13"/>
  <c r="I81" i="18" s="1"/>
  <c r="AC17" i="13"/>
  <c r="I82" i="18" s="1"/>
  <c r="AB12" i="13"/>
  <c r="H77" i="18" s="1"/>
  <c r="AB13" i="13"/>
  <c r="H78" i="18" s="1"/>
  <c r="AB14" i="13"/>
  <c r="H79" i="18" s="1"/>
  <c r="AB15" i="13"/>
  <c r="H80" i="18" s="1"/>
  <c r="AB16" i="13"/>
  <c r="H81" i="18" s="1"/>
  <c r="AB17" i="13"/>
  <c r="H82" i="18" s="1"/>
  <c r="AA12" i="13"/>
  <c r="G77" i="18" s="1"/>
  <c r="AA13" i="13"/>
  <c r="G78" i="18" s="1"/>
  <c r="AA14" i="13"/>
  <c r="G79" i="18" s="1"/>
  <c r="AA15" i="13"/>
  <c r="G80" i="18" s="1"/>
  <c r="AA16" i="13"/>
  <c r="G81" i="18" s="1"/>
  <c r="AA17" i="13"/>
  <c r="G82" i="18" s="1"/>
  <c r="Z12" i="13"/>
  <c r="F77" i="18" s="1"/>
  <c r="Z13" i="13"/>
  <c r="F78" i="18" s="1"/>
  <c r="Z14" i="13"/>
  <c r="F79" i="18" s="1"/>
  <c r="E79" i="18" s="1"/>
  <c r="Z15" i="13"/>
  <c r="F80" i="18" s="1"/>
  <c r="Z16" i="13"/>
  <c r="F81" i="18" s="1"/>
  <c r="Z17" i="13"/>
  <c r="F82" i="18" s="1"/>
  <c r="Y12" i="13"/>
  <c r="Y13" i="13"/>
  <c r="Y14" i="13"/>
  <c r="Y15" i="13"/>
  <c r="Y16" i="13"/>
  <c r="Y17" i="13"/>
  <c r="E78" i="18" l="1"/>
  <c r="E82" i="18"/>
  <c r="E81" i="18"/>
  <c r="E77" i="18"/>
  <c r="E80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AD11" i="13"/>
  <c r="AC11" i="13"/>
  <c r="AB11" i="13"/>
  <c r="AA11" i="13"/>
  <c r="Z11" i="13"/>
  <c r="Y11" i="13"/>
  <c r="Y19" i="13" s="1"/>
  <c r="AD19" i="13" l="1"/>
  <c r="J76" i="18"/>
  <c r="J84" i="18" s="1"/>
  <c r="AC19" i="13"/>
  <c r="I76" i="18"/>
  <c r="I84" i="18" s="1"/>
  <c r="AA19" i="13"/>
  <c r="G76" i="18"/>
  <c r="G84" i="18" s="1"/>
  <c r="Z19" i="13"/>
  <c r="F76" i="18"/>
  <c r="AE19" i="13"/>
  <c r="K76" i="18"/>
  <c r="K84" i="18" s="1"/>
  <c r="AB19" i="13"/>
  <c r="H76" i="18"/>
  <c r="H84" i="18" s="1"/>
  <c r="AE45" i="10"/>
  <c r="AF33" i="5" s="1"/>
  <c r="AE46" i="10"/>
  <c r="AF34" i="5" s="1"/>
  <c r="AF35" i="5"/>
  <c r="AE48" i="10"/>
  <c r="AF36" i="5" s="1"/>
  <c r="AE49" i="10"/>
  <c r="AF37" i="5" s="1"/>
  <c r="AE50" i="10"/>
  <c r="AF38" i="5" s="1"/>
  <c r="AE51" i="10"/>
  <c r="AF39" i="5" s="1"/>
  <c r="AE52" i="10"/>
  <c r="AF40" i="5" s="1"/>
  <c r="AD45" i="10"/>
  <c r="AE33" i="5" s="1"/>
  <c r="AD46" i="10"/>
  <c r="AE34" i="5" s="1"/>
  <c r="AD47" i="10"/>
  <c r="AE35" i="5" s="1"/>
  <c r="AD48" i="10"/>
  <c r="AE36" i="5" s="1"/>
  <c r="AD49" i="10"/>
  <c r="AE37" i="5" s="1"/>
  <c r="AD50" i="10"/>
  <c r="AE38" i="5" s="1"/>
  <c r="AD51" i="10"/>
  <c r="AE39" i="5" s="1"/>
  <c r="AD52" i="10"/>
  <c r="AE40" i="5" s="1"/>
  <c r="AC45" i="10"/>
  <c r="AC46" i="10"/>
  <c r="AC47" i="10"/>
  <c r="AC48" i="10"/>
  <c r="AC49" i="10"/>
  <c r="AC50" i="10"/>
  <c r="AC51" i="10"/>
  <c r="AB45" i="10"/>
  <c r="AB46" i="10"/>
  <c r="AB47" i="10"/>
  <c r="AB48" i="10"/>
  <c r="AB49" i="10"/>
  <c r="AB50" i="10"/>
  <c r="AB51" i="10"/>
  <c r="AB52" i="10"/>
  <c r="AA45" i="10"/>
  <c r="AA46" i="10"/>
  <c r="AA47" i="10"/>
  <c r="AA48" i="10"/>
  <c r="AA49" i="10"/>
  <c r="AA50" i="10"/>
  <c r="AA51" i="10"/>
  <c r="AA52" i="10"/>
  <c r="Z45" i="10"/>
  <c r="AA33" i="5" s="1"/>
  <c r="Z46" i="10"/>
  <c r="AA34" i="5" s="1"/>
  <c r="Z47" i="10"/>
  <c r="AA35" i="5" s="1"/>
  <c r="Z48" i="10"/>
  <c r="AA36" i="5" s="1"/>
  <c r="Z49" i="10"/>
  <c r="AA37" i="5" s="1"/>
  <c r="Z50" i="10"/>
  <c r="AA38" i="5" s="1"/>
  <c r="Z51" i="10"/>
  <c r="AA39" i="5" s="1"/>
  <c r="Z52" i="10"/>
  <c r="AA40" i="5" s="1"/>
  <c r="Y45" i="10"/>
  <c r="Z33" i="5" s="1"/>
  <c r="Y46" i="10"/>
  <c r="Z34" i="5" s="1"/>
  <c r="Y47" i="10"/>
  <c r="Z35" i="5" s="1"/>
  <c r="Y48" i="10"/>
  <c r="Z36" i="5" s="1"/>
  <c r="Y49" i="10"/>
  <c r="Z37" i="5" s="1"/>
  <c r="Y50" i="10"/>
  <c r="Z38" i="5" s="1"/>
  <c r="Y51" i="10"/>
  <c r="Z39" i="5" s="1"/>
  <c r="Y52" i="10"/>
  <c r="Z40" i="5" s="1"/>
  <c r="AB48" i="9"/>
  <c r="Y48" i="9"/>
  <c r="Z26" i="5" s="1"/>
  <c r="AF25" i="5"/>
  <c r="AE48" i="9"/>
  <c r="AF26" i="5" s="1"/>
  <c r="AE49" i="9"/>
  <c r="AF27" i="5" s="1"/>
  <c r="AE50" i="9"/>
  <c r="AF28" i="5" s="1"/>
  <c r="AE51" i="9"/>
  <c r="AF29" i="5" s="1"/>
  <c r="AE52" i="9"/>
  <c r="AF30" i="5" s="1"/>
  <c r="AE25" i="5"/>
  <c r="AD48" i="9"/>
  <c r="AE26" i="5" s="1"/>
  <c r="AD49" i="9"/>
  <c r="AE27" i="5" s="1"/>
  <c r="AD50" i="9"/>
  <c r="AE28" i="5" s="1"/>
  <c r="AD51" i="9"/>
  <c r="AE29" i="5" s="1"/>
  <c r="AD52" i="9"/>
  <c r="AE30" i="5" s="1"/>
  <c r="AC48" i="9"/>
  <c r="AC49" i="9"/>
  <c r="AC50" i="9"/>
  <c r="AC51" i="9"/>
  <c r="AC52" i="9"/>
  <c r="AB49" i="9"/>
  <c r="AB50" i="9"/>
  <c r="AB51" i="9"/>
  <c r="AB52" i="9"/>
  <c r="AA48" i="9"/>
  <c r="AB26" i="5" s="1"/>
  <c r="AA49" i="9"/>
  <c r="AB27" i="5" s="1"/>
  <c r="AA50" i="9"/>
  <c r="AA51" i="9"/>
  <c r="AA52" i="9"/>
  <c r="AA25" i="5"/>
  <c r="Z48" i="9"/>
  <c r="AA26" i="5" s="1"/>
  <c r="Z49" i="9"/>
  <c r="AA27" i="5" s="1"/>
  <c r="Z50" i="9"/>
  <c r="AA28" i="5" s="1"/>
  <c r="Z51" i="9"/>
  <c r="AA29" i="5" s="1"/>
  <c r="Z52" i="9"/>
  <c r="AA30" i="5" s="1"/>
  <c r="Y45" i="9"/>
  <c r="Z25" i="5" s="1"/>
  <c r="Y49" i="9"/>
  <c r="Z27" i="5" s="1"/>
  <c r="Y50" i="9"/>
  <c r="Z28" i="5" s="1"/>
  <c r="Y51" i="9"/>
  <c r="Z29" i="5" s="1"/>
  <c r="Y52" i="9"/>
  <c r="Z30" i="5" s="1"/>
  <c r="F84" i="18" l="1"/>
  <c r="E76" i="18"/>
  <c r="E84" i="18" s="1"/>
  <c r="AE53" i="11"/>
  <c r="AF43" i="5" s="1"/>
  <c r="AE54" i="11"/>
  <c r="AF44" i="5" s="1"/>
  <c r="AE55" i="11"/>
  <c r="AF45" i="5" s="1"/>
  <c r="AE56" i="11"/>
  <c r="AF46" i="5" s="1"/>
  <c r="AE57" i="11"/>
  <c r="AF47" i="5" s="1"/>
  <c r="AE58" i="11"/>
  <c r="AF48" i="5" s="1"/>
  <c r="AE59" i="11"/>
  <c r="AF49" i="5" s="1"/>
  <c r="AE60" i="11"/>
  <c r="AF50" i="5" s="1"/>
  <c r="AE61" i="11"/>
  <c r="AF51" i="5" s="1"/>
  <c r="AE62" i="11"/>
  <c r="AF52" i="5" s="1"/>
  <c r="AE63" i="11"/>
  <c r="AF53" i="5" s="1"/>
  <c r="AE64" i="11"/>
  <c r="AF54" i="5" s="1"/>
  <c r="AE65" i="11"/>
  <c r="AF55" i="5" s="1"/>
  <c r="AE66" i="11"/>
  <c r="AF56" i="5" s="1"/>
  <c r="AE67" i="11"/>
  <c r="AF57" i="5" s="1"/>
  <c r="AF58" i="5"/>
  <c r="AF62" i="5"/>
  <c r="AD53" i="11"/>
  <c r="AE43" i="5" s="1"/>
  <c r="AD54" i="11"/>
  <c r="AE44" i="5" s="1"/>
  <c r="AD55" i="11"/>
  <c r="AE45" i="5" s="1"/>
  <c r="AD56" i="11"/>
  <c r="AE46" i="5" s="1"/>
  <c r="AD57" i="11"/>
  <c r="AE47" i="5" s="1"/>
  <c r="AD58" i="11"/>
  <c r="AE48" i="5" s="1"/>
  <c r="AD59" i="11"/>
  <c r="AE49" i="5" s="1"/>
  <c r="AD60" i="11"/>
  <c r="AE50" i="5" s="1"/>
  <c r="AD61" i="11"/>
  <c r="AE51" i="5" s="1"/>
  <c r="AD62" i="11"/>
  <c r="AE52" i="5" s="1"/>
  <c r="AD63" i="11"/>
  <c r="AE53" i="5" s="1"/>
  <c r="AD64" i="11"/>
  <c r="AE54" i="5" s="1"/>
  <c r="AD65" i="11"/>
  <c r="AE55" i="5" s="1"/>
  <c r="AD66" i="11"/>
  <c r="AE56" i="5" s="1"/>
  <c r="AD67" i="11"/>
  <c r="AE57" i="5" s="1"/>
  <c r="AE58" i="5"/>
  <c r="AE62" i="5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A53" i="11"/>
  <c r="AB43" i="5" s="1"/>
  <c r="AA54" i="11"/>
  <c r="AB44" i="5" s="1"/>
  <c r="AA55" i="11"/>
  <c r="AB45" i="5" s="1"/>
  <c r="AA56" i="11"/>
  <c r="AB46" i="5" s="1"/>
  <c r="AA57" i="11"/>
  <c r="AB47" i="5" s="1"/>
  <c r="AA58" i="11"/>
  <c r="AB48" i="5" s="1"/>
  <c r="AA59" i="11"/>
  <c r="AB49" i="5" s="1"/>
  <c r="AA60" i="11"/>
  <c r="AB50" i="5" s="1"/>
  <c r="AA61" i="11"/>
  <c r="AB51" i="5" s="1"/>
  <c r="AA62" i="11"/>
  <c r="AB52" i="5" s="1"/>
  <c r="AA63" i="11"/>
  <c r="AB53" i="5" s="1"/>
  <c r="AA64" i="11"/>
  <c r="AA65" i="11"/>
  <c r="AA66" i="11"/>
  <c r="AA67" i="11"/>
  <c r="AB62" i="5"/>
  <c r="Z53" i="11"/>
  <c r="AA43" i="5" s="1"/>
  <c r="Z54" i="11"/>
  <c r="AA44" i="5" s="1"/>
  <c r="Z55" i="11"/>
  <c r="AA45" i="5" s="1"/>
  <c r="Z56" i="11"/>
  <c r="AA46" i="5" s="1"/>
  <c r="Z57" i="11"/>
  <c r="AA47" i="5" s="1"/>
  <c r="Z58" i="11"/>
  <c r="AA48" i="5" s="1"/>
  <c r="Z59" i="11"/>
  <c r="AA49" i="5" s="1"/>
  <c r="Z60" i="11"/>
  <c r="AA50" i="5" s="1"/>
  <c r="Z61" i="11"/>
  <c r="AA51" i="5" s="1"/>
  <c r="Z62" i="11"/>
  <c r="AA52" i="5" s="1"/>
  <c r="Z63" i="11"/>
  <c r="AA53" i="5" s="1"/>
  <c r="Z64" i="11"/>
  <c r="AA54" i="5" s="1"/>
  <c r="Z65" i="11"/>
  <c r="AA55" i="5" s="1"/>
  <c r="Z66" i="11"/>
  <c r="AA56" i="5" s="1"/>
  <c r="Z67" i="11"/>
  <c r="AA57" i="5" s="1"/>
  <c r="AA58" i="5"/>
  <c r="AA62" i="5"/>
  <c r="Y53" i="11"/>
  <c r="Z43" i="5" s="1"/>
  <c r="Y54" i="11"/>
  <c r="Z44" i="5" s="1"/>
  <c r="Y55" i="11"/>
  <c r="Z45" i="5" s="1"/>
  <c r="Y56" i="11"/>
  <c r="Z46" i="5" s="1"/>
  <c r="Y57" i="11"/>
  <c r="Z47" i="5" s="1"/>
  <c r="Y58" i="11"/>
  <c r="Z48" i="5" s="1"/>
  <c r="Y59" i="11"/>
  <c r="Z49" i="5" s="1"/>
  <c r="Y60" i="11"/>
  <c r="Z50" i="5" s="1"/>
  <c r="Y61" i="11"/>
  <c r="Z51" i="5" s="1"/>
  <c r="Y62" i="11"/>
  <c r="Z52" i="5" s="1"/>
  <c r="Y63" i="11"/>
  <c r="Z53" i="5" s="1"/>
  <c r="Y64" i="11"/>
  <c r="Z54" i="5" s="1"/>
  <c r="Y65" i="11"/>
  <c r="Z55" i="5" s="1"/>
  <c r="Y66" i="11"/>
  <c r="Z56" i="5" s="1"/>
  <c r="Y67" i="11"/>
  <c r="Z57" i="5" s="1"/>
  <c r="Z58" i="5"/>
  <c r="Z62" i="5"/>
  <c r="Y52" i="11"/>
  <c r="Z42" i="5" s="1"/>
  <c r="D62" i="5"/>
  <c r="C64" i="11"/>
  <c r="C65" i="11"/>
  <c r="C66" i="11"/>
  <c r="C67" i="11"/>
  <c r="C53" i="11"/>
  <c r="C54" i="11"/>
  <c r="C55" i="11"/>
  <c r="C56" i="11"/>
  <c r="C57" i="11"/>
  <c r="C59" i="11"/>
  <c r="C60" i="11"/>
  <c r="C61" i="11"/>
  <c r="C62" i="11"/>
  <c r="C63" i="11"/>
  <c r="AE52" i="11"/>
  <c r="AF42" i="5" s="1"/>
  <c r="AD52" i="11"/>
  <c r="AE42" i="5" s="1"/>
  <c r="AC52" i="11"/>
  <c r="AB52" i="11"/>
  <c r="AA52" i="11"/>
  <c r="AB42" i="5" s="1"/>
  <c r="Z52" i="11"/>
  <c r="AA42" i="5" s="1"/>
  <c r="C52" i="11"/>
  <c r="C48" i="10"/>
  <c r="C47" i="10"/>
  <c r="AC52" i="10"/>
  <c r="C46" i="10"/>
  <c r="AE44" i="10"/>
  <c r="AF32" i="5" s="1"/>
  <c r="AD44" i="10"/>
  <c r="AE32" i="5" s="1"/>
  <c r="AC44" i="10"/>
  <c r="AB44" i="10"/>
  <c r="AA44" i="10"/>
  <c r="Z44" i="10"/>
  <c r="AA32" i="5" s="1"/>
  <c r="Y44" i="10"/>
  <c r="Z32" i="5" s="1"/>
  <c r="C44" i="10"/>
  <c r="D18" i="5"/>
  <c r="AE44" i="9"/>
  <c r="AF24" i="5" s="1"/>
  <c r="AD44" i="9"/>
  <c r="AE24" i="5" s="1"/>
  <c r="AC44" i="9"/>
  <c r="AB44" i="9"/>
  <c r="AA44" i="9"/>
  <c r="Z44" i="9"/>
  <c r="AA24" i="5" s="1"/>
  <c r="Y44" i="9"/>
  <c r="Z24" i="5" s="1"/>
  <c r="C57" i="8"/>
  <c r="C56" i="8"/>
  <c r="C55" i="8"/>
  <c r="AF19" i="5"/>
  <c r="AF20" i="5"/>
  <c r="AF21" i="5"/>
  <c r="AE19" i="5"/>
  <c r="AE20" i="5"/>
  <c r="AE21" i="5"/>
  <c r="AA19" i="5"/>
  <c r="AA20" i="5"/>
  <c r="AA21" i="5"/>
  <c r="Z19" i="5"/>
  <c r="Z20" i="5"/>
  <c r="Z21" i="5"/>
  <c r="AF18" i="5"/>
  <c r="AE18" i="5"/>
  <c r="AB18" i="5"/>
  <c r="Z18" i="5"/>
  <c r="AF17" i="5"/>
  <c r="AE17" i="5"/>
  <c r="AA17" i="5"/>
  <c r="Z17" i="5"/>
  <c r="AF16" i="5"/>
  <c r="AE16" i="5"/>
  <c r="AA16" i="5"/>
  <c r="Z16" i="5"/>
  <c r="AE41" i="8"/>
  <c r="AD41" i="8"/>
  <c r="AC41" i="8"/>
  <c r="AE40" i="8"/>
  <c r="AD40" i="8"/>
  <c r="AC40" i="8"/>
  <c r="AB40" i="8"/>
  <c r="AA40" i="8"/>
  <c r="Z40" i="8"/>
  <c r="AE50" i="8"/>
  <c r="AF15" i="5" s="1"/>
  <c r="AD50" i="8"/>
  <c r="AE15" i="5" s="1"/>
  <c r="AC50" i="8"/>
  <c r="AB50" i="8"/>
  <c r="AA50" i="8"/>
  <c r="AA15" i="5"/>
  <c r="Y50" i="8"/>
  <c r="Z15" i="5" s="1"/>
  <c r="Y41" i="8" l="1"/>
  <c r="Z45" i="8"/>
  <c r="AB45" i="8"/>
  <c r="AA45" i="8"/>
  <c r="Y40" i="8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40" i="11"/>
  <c r="C31" i="10"/>
  <c r="C29" i="9"/>
  <c r="AE34" i="4"/>
  <c r="K98" i="18" s="1"/>
  <c r="AD34" i="4"/>
  <c r="J98" i="18" s="1"/>
  <c r="AC34" i="4"/>
  <c r="I98" i="18" s="1"/>
  <c r="AB34" i="4"/>
  <c r="H98" i="18" s="1"/>
  <c r="AA34" i="4"/>
  <c r="G98" i="18" s="1"/>
  <c r="Z34" i="4"/>
  <c r="AE33" i="4"/>
  <c r="AD33" i="4"/>
  <c r="AC33" i="4"/>
  <c r="AB33" i="4"/>
  <c r="AA33" i="4"/>
  <c r="Z33" i="4"/>
  <c r="AF9" i="5"/>
  <c r="AF10" i="5"/>
  <c r="AE51" i="4"/>
  <c r="AF11" i="5" s="1"/>
  <c r="AE52" i="4"/>
  <c r="AF12" i="5" s="1"/>
  <c r="AF13" i="5"/>
  <c r="AE9" i="5"/>
  <c r="AE10" i="5"/>
  <c r="AD51" i="4"/>
  <c r="AE11" i="5" s="1"/>
  <c r="AD52" i="4"/>
  <c r="AE12" i="5" s="1"/>
  <c r="AE13" i="5"/>
  <c r="AC51" i="4"/>
  <c r="AC52" i="4"/>
  <c r="AB51" i="4"/>
  <c r="AB52" i="4"/>
  <c r="AA51" i="4"/>
  <c r="AA52" i="4"/>
  <c r="AA9" i="5"/>
  <c r="AA10" i="5"/>
  <c r="Z51" i="4"/>
  <c r="AA11" i="5" s="1"/>
  <c r="Z52" i="4"/>
  <c r="AA12" i="5" s="1"/>
  <c r="AA13" i="5"/>
  <c r="AE49" i="4"/>
  <c r="AD49" i="4"/>
  <c r="AC49" i="4"/>
  <c r="AB49" i="4"/>
  <c r="AA49" i="4"/>
  <c r="Z49" i="4"/>
  <c r="Z9" i="5"/>
  <c r="Z10" i="5"/>
  <c r="Y51" i="4"/>
  <c r="Z11" i="5" s="1"/>
  <c r="Y52" i="4"/>
  <c r="Z12" i="5" s="1"/>
  <c r="Z13" i="5"/>
  <c r="Y49" i="4"/>
  <c r="C49" i="4"/>
  <c r="AD39" i="4"/>
  <c r="AD38" i="4"/>
  <c r="AE39" i="4"/>
  <c r="AE38" i="4"/>
  <c r="AD35" i="4"/>
  <c r="J99" i="18" s="1"/>
  <c r="AC39" i="4"/>
  <c r="Z39" i="4"/>
  <c r="AC38" i="4"/>
  <c r="Z38" i="4"/>
  <c r="AE35" i="4"/>
  <c r="K99" i="18" s="1"/>
  <c r="AC35" i="4"/>
  <c r="AB35" i="4"/>
  <c r="AA35" i="4"/>
  <c r="G99" i="18" s="1"/>
  <c r="Z35" i="4"/>
  <c r="AC36" i="4" l="1"/>
  <c r="Z36" i="4"/>
  <c r="AD36" i="4"/>
  <c r="AA36" i="4"/>
  <c r="AE36" i="4"/>
  <c r="AB36" i="4"/>
  <c r="Y39" i="4"/>
  <c r="Y38" i="4"/>
  <c r="G97" i="18"/>
  <c r="K97" i="18"/>
  <c r="H97" i="18"/>
  <c r="Y34" i="4"/>
  <c r="F98" i="18"/>
  <c r="E98" i="18" s="1"/>
  <c r="Y35" i="4"/>
  <c r="E99" i="18" s="1"/>
  <c r="I97" i="18"/>
  <c r="Y33" i="4"/>
  <c r="F97" i="18"/>
  <c r="J97" i="18"/>
  <c r="AC40" i="4"/>
  <c r="Z40" i="4"/>
  <c r="AE40" i="4"/>
  <c r="AD40" i="4"/>
  <c r="AA40" i="4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AE40" i="11"/>
  <c r="AD40" i="11"/>
  <c r="AC40" i="11"/>
  <c r="AC41" i="11" s="1"/>
  <c r="AB40" i="11"/>
  <c r="AB41" i="11" s="1"/>
  <c r="AA40" i="11"/>
  <c r="Z40" i="11"/>
  <c r="Z41" i="11" s="1"/>
  <c r="R40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AE31" i="10"/>
  <c r="AE32" i="10" s="1"/>
  <c r="AD31" i="10"/>
  <c r="AD32" i="10" s="1"/>
  <c r="AC31" i="10"/>
  <c r="AC32" i="10" s="1"/>
  <c r="AB31" i="10"/>
  <c r="AB32" i="10" s="1"/>
  <c r="AA31" i="10"/>
  <c r="Z31" i="10"/>
  <c r="Z32" i="10" s="1"/>
  <c r="AE29" i="9"/>
  <c r="AD29" i="9"/>
  <c r="AC29" i="9"/>
  <c r="AB29" i="9"/>
  <c r="AA29" i="9"/>
  <c r="Z29" i="9"/>
  <c r="AE37" i="8"/>
  <c r="K101" i="18" s="1"/>
  <c r="AD37" i="8"/>
  <c r="J101" i="18" s="1"/>
  <c r="AC37" i="8"/>
  <c r="AB38" i="8"/>
  <c r="AC36" i="8"/>
  <c r="AE36" i="8"/>
  <c r="K100" i="18" s="1"/>
  <c r="AD36" i="8"/>
  <c r="J100" i="18" s="1"/>
  <c r="Z38" i="8"/>
  <c r="AD23" i="8"/>
  <c r="AC23" i="8"/>
  <c r="AB23" i="8"/>
  <c r="AB25" i="8" s="1"/>
  <c r="AA23" i="8"/>
  <c r="Z23" i="8"/>
  <c r="F35" i="18" s="1"/>
  <c r="F37" i="18" s="1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G30" i="8"/>
  <c r="AE28" i="8"/>
  <c r="K70" i="18" s="1"/>
  <c r="AD28" i="8"/>
  <c r="J70" i="18" s="1"/>
  <c r="AC28" i="8"/>
  <c r="AE29" i="8"/>
  <c r="K71" i="18" s="1"/>
  <c r="AD29" i="8"/>
  <c r="J71" i="18" s="1"/>
  <c r="AC29" i="8"/>
  <c r="AE27" i="8"/>
  <c r="K69" i="18" s="1"/>
  <c r="AD27" i="8"/>
  <c r="J69" i="18" s="1"/>
  <c r="AC27" i="8"/>
  <c r="I69" i="18" s="1"/>
  <c r="AB27" i="8"/>
  <c r="H69" i="18" s="1"/>
  <c r="AA27" i="8"/>
  <c r="G69" i="18" s="1"/>
  <c r="Z27" i="8"/>
  <c r="AE20" i="9"/>
  <c r="K50" i="18" s="1"/>
  <c r="AD20" i="9"/>
  <c r="J50" i="18" s="1"/>
  <c r="AC20" i="9"/>
  <c r="I50" i="18" s="1"/>
  <c r="AB20" i="9"/>
  <c r="H50" i="18" s="1"/>
  <c r="AA20" i="9"/>
  <c r="G50" i="18" s="1"/>
  <c r="Z20" i="9"/>
  <c r="AE19" i="9"/>
  <c r="K47" i="18" s="1"/>
  <c r="AD19" i="9"/>
  <c r="J47" i="18" s="1"/>
  <c r="AC19" i="9"/>
  <c r="I47" i="18" s="1"/>
  <c r="AB19" i="9"/>
  <c r="H47" i="18" s="1"/>
  <c r="AA19" i="9"/>
  <c r="G47" i="18" s="1"/>
  <c r="Z19" i="9"/>
  <c r="AD46" i="4" l="1"/>
  <c r="H100" i="18"/>
  <c r="Z46" i="4"/>
  <c r="AE46" i="4"/>
  <c r="AC46" i="4"/>
  <c r="AA46" i="4"/>
  <c r="Y40" i="11"/>
  <c r="Y41" i="11" s="1"/>
  <c r="Y36" i="8"/>
  <c r="I100" i="18"/>
  <c r="E100" i="18" s="1"/>
  <c r="H102" i="18"/>
  <c r="AC25" i="8"/>
  <c r="I35" i="18"/>
  <c r="I37" i="18" s="1"/>
  <c r="Y37" i="8"/>
  <c r="I101" i="18"/>
  <c r="E101" i="18" s="1"/>
  <c r="Y27" i="8"/>
  <c r="F69" i="18"/>
  <c r="E69" i="18" s="1"/>
  <c r="AD38" i="8"/>
  <c r="AC38" i="8"/>
  <c r="Y28" i="8"/>
  <c r="I70" i="18"/>
  <c r="E70" i="18" s="1"/>
  <c r="AA25" i="8"/>
  <c r="G35" i="18"/>
  <c r="Y29" i="8"/>
  <c r="I71" i="18"/>
  <c r="E71" i="18" s="1"/>
  <c r="Z25" i="8"/>
  <c r="Y23" i="8"/>
  <c r="Y25" i="8" s="1"/>
  <c r="AD25" i="8"/>
  <c r="J35" i="18"/>
  <c r="J37" i="18" s="1"/>
  <c r="AE38" i="8"/>
  <c r="AA32" i="10"/>
  <c r="Y31" i="10"/>
  <c r="Y32" i="10" s="1"/>
  <c r="Y29" i="9"/>
  <c r="Y38" i="8"/>
  <c r="AA38" i="8"/>
  <c r="F50" i="18"/>
  <c r="E50" i="18" s="1"/>
  <c r="Y20" i="9"/>
  <c r="F47" i="18"/>
  <c r="E47" i="18" s="1"/>
  <c r="Y19" i="9"/>
  <c r="F102" i="18"/>
  <c r="Y36" i="4"/>
  <c r="E97" i="18"/>
  <c r="AA41" i="11"/>
  <c r="G102" i="18"/>
  <c r="AE41" i="11"/>
  <c r="K102" i="18"/>
  <c r="AD41" i="11"/>
  <c r="Y30" i="8"/>
  <c r="AC30" i="8"/>
  <c r="Z30" i="8"/>
  <c r="AD30" i="8"/>
  <c r="AA30" i="8"/>
  <c r="AE30" i="8"/>
  <c r="AB30" i="8"/>
  <c r="E35" i="18" l="1"/>
  <c r="E37" i="18" s="1"/>
  <c r="G37" i="18"/>
  <c r="J102" i="18"/>
  <c r="E102" i="18"/>
  <c r="C37" i="11"/>
  <c r="C36" i="11"/>
  <c r="C33" i="11"/>
  <c r="C32" i="11"/>
  <c r="C23" i="11"/>
  <c r="C20" i="11"/>
  <c r="C21" i="10"/>
  <c r="C27" i="10"/>
  <c r="C29" i="4"/>
  <c r="C22" i="10" l="1"/>
  <c r="C12" i="10"/>
  <c r="C13" i="10"/>
  <c r="C14" i="10"/>
  <c r="C15" i="10"/>
  <c r="C17" i="10"/>
  <c r="C11" i="10"/>
  <c r="C26" i="9"/>
  <c r="C23" i="9"/>
  <c r="C33" i="8"/>
  <c r="C32" i="8"/>
  <c r="AC32" i="11" l="1"/>
  <c r="I72" i="18" s="1"/>
  <c r="AB33" i="11"/>
  <c r="H73" i="18" s="1"/>
  <c r="AB32" i="11"/>
  <c r="H72" i="18" s="1"/>
  <c r="AA33" i="11"/>
  <c r="G73" i="18" s="1"/>
  <c r="AA32" i="11"/>
  <c r="G72" i="18" s="1"/>
  <c r="Z33" i="11"/>
  <c r="Z32" i="11"/>
  <c r="AC21" i="11"/>
  <c r="I56" i="18" s="1"/>
  <c r="AC22" i="11"/>
  <c r="I57" i="18" s="1"/>
  <c r="AC23" i="11"/>
  <c r="I58" i="18" s="1"/>
  <c r="AC24" i="11"/>
  <c r="I59" i="18" s="1"/>
  <c r="AC25" i="11"/>
  <c r="I60" i="18" s="1"/>
  <c r="AC26" i="11"/>
  <c r="I61" i="18" s="1"/>
  <c r="AC27" i="11"/>
  <c r="I62" i="18" s="1"/>
  <c r="AC28" i="11"/>
  <c r="I63" i="18" s="1"/>
  <c r="I65" i="18"/>
  <c r="AC29" i="11"/>
  <c r="I64" i="18" s="1"/>
  <c r="AC20" i="11"/>
  <c r="AC17" i="11"/>
  <c r="I46" i="18" s="1"/>
  <c r="AC16" i="11"/>
  <c r="AB21" i="11"/>
  <c r="H56" i="18" s="1"/>
  <c r="AB22" i="11"/>
  <c r="H57" i="18" s="1"/>
  <c r="AB23" i="11"/>
  <c r="H58" i="18" s="1"/>
  <c r="AB24" i="11"/>
  <c r="H59" i="18" s="1"/>
  <c r="AB25" i="11"/>
  <c r="H60" i="18" s="1"/>
  <c r="AB26" i="11"/>
  <c r="H61" i="18" s="1"/>
  <c r="AB28" i="11"/>
  <c r="H63" i="18" s="1"/>
  <c r="H65" i="18"/>
  <c r="AB29" i="11"/>
  <c r="H64" i="18" s="1"/>
  <c r="AB20" i="11"/>
  <c r="AB17" i="11"/>
  <c r="H46" i="18" s="1"/>
  <c r="AB16" i="11"/>
  <c r="AA21" i="11"/>
  <c r="G56" i="18" s="1"/>
  <c r="AA22" i="11"/>
  <c r="G57" i="18" s="1"/>
  <c r="AA23" i="11"/>
  <c r="G58" i="18" s="1"/>
  <c r="AA24" i="11"/>
  <c r="G59" i="18" s="1"/>
  <c r="AA25" i="11"/>
  <c r="G60" i="18" s="1"/>
  <c r="AA26" i="11"/>
  <c r="G61" i="18" s="1"/>
  <c r="AA27" i="11"/>
  <c r="G62" i="18" s="1"/>
  <c r="AA28" i="11"/>
  <c r="G63" i="18" s="1"/>
  <c r="G65" i="18"/>
  <c r="AA29" i="11"/>
  <c r="G64" i="18" s="1"/>
  <c r="AA20" i="11"/>
  <c r="AA17" i="11"/>
  <c r="G46" i="18" s="1"/>
  <c r="AA16" i="11"/>
  <c r="Z21" i="11"/>
  <c r="Z22" i="11"/>
  <c r="Z23" i="11"/>
  <c r="Z24" i="11"/>
  <c r="Z25" i="11"/>
  <c r="Z26" i="11"/>
  <c r="Z27" i="11"/>
  <c r="Z28" i="11"/>
  <c r="Z29" i="11"/>
  <c r="Z20" i="11"/>
  <c r="Z17" i="11"/>
  <c r="Z16" i="11"/>
  <c r="AE43" i="11"/>
  <c r="AE44" i="11"/>
  <c r="AE46" i="11"/>
  <c r="AC43" i="11"/>
  <c r="AC44" i="11"/>
  <c r="AC46" i="11"/>
  <c r="AB43" i="11"/>
  <c r="AB44" i="11"/>
  <c r="AB46" i="11"/>
  <c r="AA43" i="11"/>
  <c r="AA44" i="11"/>
  <c r="AA46" i="11"/>
  <c r="Z43" i="11"/>
  <c r="Z44" i="11"/>
  <c r="Z46" i="11"/>
  <c r="AC37" i="11"/>
  <c r="AB37" i="11"/>
  <c r="Z37" i="11"/>
  <c r="AA37" i="11"/>
  <c r="AC36" i="11"/>
  <c r="AB36" i="11"/>
  <c r="H92" i="18" s="1"/>
  <c r="AA36" i="11"/>
  <c r="Z36" i="11"/>
  <c r="AC33" i="11"/>
  <c r="I73" i="18" s="1"/>
  <c r="Z23" i="9"/>
  <c r="AB18" i="9"/>
  <c r="H41" i="18" s="1"/>
  <c r="AA18" i="9"/>
  <c r="G41" i="18" s="1"/>
  <c r="Z18" i="9"/>
  <c r="G24" i="18"/>
  <c r="AA13" i="9"/>
  <c r="Z13" i="9"/>
  <c r="AA32" i="9"/>
  <c r="Z32" i="9"/>
  <c r="AD35" i="10"/>
  <c r="AD36" i="10"/>
  <c r="AD37" i="10"/>
  <c r="AD38" i="10"/>
  <c r="AD39" i="10"/>
  <c r="AD34" i="10"/>
  <c r="AA35" i="10"/>
  <c r="AA36" i="10"/>
  <c r="AA37" i="10"/>
  <c r="AA38" i="10"/>
  <c r="AA39" i="10"/>
  <c r="AA34" i="10"/>
  <c r="AA22" i="10"/>
  <c r="AA24" i="10"/>
  <c r="G66" i="18" s="1"/>
  <c r="AB12" i="10"/>
  <c r="H40" i="18" s="1"/>
  <c r="AA12" i="10"/>
  <c r="G40" i="18" s="1"/>
  <c r="Z12" i="10"/>
  <c r="AB11" i="10"/>
  <c r="AA11" i="10"/>
  <c r="Z11" i="10"/>
  <c r="AA13" i="10"/>
  <c r="G43" i="18" s="1"/>
  <c r="AA14" i="10"/>
  <c r="G44" i="18" s="1"/>
  <c r="AA15" i="10"/>
  <c r="G45" i="18" s="1"/>
  <c r="AA16" i="10"/>
  <c r="G48" i="18" s="1"/>
  <c r="AA17" i="10"/>
  <c r="G49" i="18" s="1"/>
  <c r="AA18" i="10"/>
  <c r="G51" i="18" s="1"/>
  <c r="AB15" i="10"/>
  <c r="H45" i="18" s="1"/>
  <c r="Z15" i="10"/>
  <c r="AB14" i="10"/>
  <c r="H44" i="18" s="1"/>
  <c r="Z14" i="10"/>
  <c r="AE35" i="10"/>
  <c r="AE36" i="10"/>
  <c r="AE37" i="10"/>
  <c r="AE38" i="10"/>
  <c r="AE39" i="10"/>
  <c r="Z35" i="10"/>
  <c r="Z36" i="10"/>
  <c r="Z37" i="10"/>
  <c r="Z38" i="10"/>
  <c r="Z39" i="10"/>
  <c r="AD24" i="10"/>
  <c r="J66" i="18" s="1"/>
  <c r="AC12" i="10"/>
  <c r="I40" i="18" s="1"/>
  <c r="AC13" i="10"/>
  <c r="I43" i="18" s="1"/>
  <c r="AC14" i="10"/>
  <c r="I44" i="18" s="1"/>
  <c r="AC15" i="10"/>
  <c r="I45" i="18" s="1"/>
  <c r="AC16" i="10"/>
  <c r="I48" i="18" s="1"/>
  <c r="AC17" i="10"/>
  <c r="I49" i="18" s="1"/>
  <c r="AC18" i="10"/>
  <c r="I51" i="18" s="1"/>
  <c r="AB13" i="10"/>
  <c r="H43" i="18" s="1"/>
  <c r="AB16" i="10"/>
  <c r="H48" i="18" s="1"/>
  <c r="AB17" i="10"/>
  <c r="H49" i="18" s="1"/>
  <c r="AB18" i="10"/>
  <c r="H51" i="18" s="1"/>
  <c r="Z13" i="10"/>
  <c r="Z16" i="10"/>
  <c r="Z17" i="10"/>
  <c r="AC11" i="10"/>
  <c r="Z34" i="10"/>
  <c r="AA28" i="10"/>
  <c r="AA27" i="10"/>
  <c r="AB28" i="10"/>
  <c r="H91" i="18" s="1"/>
  <c r="AB27" i="10"/>
  <c r="H90" i="18" s="1"/>
  <c r="AB22" i="10"/>
  <c r="AB24" i="10"/>
  <c r="H66" i="18" s="1"/>
  <c r="Z22" i="10"/>
  <c r="Z24" i="10"/>
  <c r="Z18" i="10"/>
  <c r="Y20" i="11" l="1"/>
  <c r="Y22" i="10"/>
  <c r="Y39" i="10"/>
  <c r="G131" i="18"/>
  <c r="Y37" i="10"/>
  <c r="Y35" i="10"/>
  <c r="Y38" i="10"/>
  <c r="Y24" i="10"/>
  <c r="F66" i="18"/>
  <c r="E66" i="18" s="1"/>
  <c r="Y34" i="10"/>
  <c r="Y17" i="10"/>
  <c r="F49" i="18"/>
  <c r="E49" i="18" s="1"/>
  <c r="Y11" i="10"/>
  <c r="Z19" i="10"/>
  <c r="Y16" i="10"/>
  <c r="F48" i="18"/>
  <c r="E48" i="18" s="1"/>
  <c r="Y14" i="10"/>
  <c r="F44" i="18"/>
  <c r="E44" i="18" s="1"/>
  <c r="AB19" i="10"/>
  <c r="Y15" i="10"/>
  <c r="F45" i="18"/>
  <c r="E45" i="18" s="1"/>
  <c r="Y18" i="10"/>
  <c r="F51" i="18"/>
  <c r="E51" i="18" s="1"/>
  <c r="AA19" i="10"/>
  <c r="Y13" i="10"/>
  <c r="F43" i="18"/>
  <c r="E43" i="18" s="1"/>
  <c r="AC19" i="10"/>
  <c r="Y12" i="10"/>
  <c r="F40" i="18"/>
  <c r="E40" i="18" s="1"/>
  <c r="Y16" i="11"/>
  <c r="Y18" i="11" s="1"/>
  <c r="Y37" i="11"/>
  <c r="E93" i="18" s="1"/>
  <c r="H93" i="18"/>
  <c r="F62" i="18"/>
  <c r="E62" i="18" s="1"/>
  <c r="Y27" i="11"/>
  <c r="F58" i="18"/>
  <c r="E58" i="18" s="1"/>
  <c r="Y23" i="11"/>
  <c r="F64" i="18"/>
  <c r="E64" i="18" s="1"/>
  <c r="Y29" i="11"/>
  <c r="F61" i="18"/>
  <c r="E61" i="18" s="1"/>
  <c r="Y26" i="11"/>
  <c r="F57" i="18"/>
  <c r="E57" i="18" s="1"/>
  <c r="Y22" i="11"/>
  <c r="F72" i="18"/>
  <c r="E72" i="18" s="1"/>
  <c r="Y32" i="11"/>
  <c r="F65" i="18"/>
  <c r="E65" i="18" s="1"/>
  <c r="F60" i="18"/>
  <c r="E60" i="18" s="1"/>
  <c r="Y25" i="11"/>
  <c r="F56" i="18"/>
  <c r="E56" i="18" s="1"/>
  <c r="Y21" i="11"/>
  <c r="F73" i="18"/>
  <c r="E73" i="18" s="1"/>
  <c r="Y33" i="11"/>
  <c r="F46" i="18"/>
  <c r="E46" i="18" s="1"/>
  <c r="Y17" i="11"/>
  <c r="F63" i="18"/>
  <c r="E63" i="18" s="1"/>
  <c r="Y28" i="11"/>
  <c r="F59" i="18"/>
  <c r="E59" i="18" s="1"/>
  <c r="Y24" i="11"/>
  <c r="Y36" i="11"/>
  <c r="E92" i="18" s="1"/>
  <c r="Y28" i="10"/>
  <c r="E91" i="18" s="1"/>
  <c r="Y27" i="10"/>
  <c r="E90" i="18" s="1"/>
  <c r="Y43" i="11"/>
  <c r="Y36" i="10"/>
  <c r="Z24" i="9"/>
  <c r="Y46" i="11"/>
  <c r="Y44" i="11"/>
  <c r="F41" i="18"/>
  <c r="F42" i="18"/>
  <c r="Z18" i="11"/>
  <c r="H42" i="18"/>
  <c r="AB18" i="11"/>
  <c r="I42" i="18"/>
  <c r="AC18" i="11"/>
  <c r="G42" i="18"/>
  <c r="AA18" i="11"/>
  <c r="F27" i="18"/>
  <c r="G27" i="18"/>
  <c r="F55" i="18"/>
  <c r="H74" i="18"/>
  <c r="G74" i="18"/>
  <c r="I74" i="18"/>
  <c r="Z48" i="11"/>
  <c r="AD48" i="11"/>
  <c r="AE48" i="11"/>
  <c r="AB48" i="11"/>
  <c r="AA48" i="11"/>
  <c r="AC48" i="11"/>
  <c r="Z34" i="11"/>
  <c r="Z40" i="10"/>
  <c r="AA39" i="9"/>
  <c r="AB30" i="11"/>
  <c r="AC30" i="11"/>
  <c r="AA30" i="11"/>
  <c r="AA40" i="10"/>
  <c r="Z39" i="9"/>
  <c r="Z30" i="11"/>
  <c r="K65" i="18"/>
  <c r="J65" i="18"/>
  <c r="AE43" i="8"/>
  <c r="AD43" i="8"/>
  <c r="AC43" i="8"/>
  <c r="AE42" i="8"/>
  <c r="AD42" i="8"/>
  <c r="AC42" i="8"/>
  <c r="AD16" i="11"/>
  <c r="AD17" i="11"/>
  <c r="J46" i="18" s="1"/>
  <c r="AC38" i="11"/>
  <c r="Z38" i="11"/>
  <c r="AC34" i="11"/>
  <c r="AA34" i="11"/>
  <c r="AC29" i="10"/>
  <c r="AB29" i="10"/>
  <c r="AA29" i="10"/>
  <c r="AC32" i="9"/>
  <c r="AB32" i="9"/>
  <c r="H131" i="18" s="1"/>
  <c r="AC18" i="9"/>
  <c r="I41" i="18" s="1"/>
  <c r="AC12" i="9"/>
  <c r="I25" i="18" s="1"/>
  <c r="AB12" i="9"/>
  <c r="H25" i="18" s="1"/>
  <c r="AA12" i="9"/>
  <c r="AA14" i="9" s="1"/>
  <c r="Z12" i="9"/>
  <c r="Z14" i="9" s="1"/>
  <c r="AC26" i="9"/>
  <c r="AC27" i="9" s="1"/>
  <c r="AB26" i="9"/>
  <c r="AA26" i="9"/>
  <c r="Z26" i="9"/>
  <c r="AA30" i="9"/>
  <c r="Z30" i="9"/>
  <c r="AC23" i="9"/>
  <c r="AC24" i="9" s="1"/>
  <c r="AB23" i="9"/>
  <c r="AB24" i="9" s="1"/>
  <c r="AA23" i="9"/>
  <c r="AA24" i="9" s="1"/>
  <c r="AC16" i="9"/>
  <c r="I39" i="18" s="1"/>
  <c r="AB16" i="9"/>
  <c r="AA16" i="9"/>
  <c r="Z16" i="9"/>
  <c r="AC11" i="9"/>
  <c r="AB11" i="9"/>
  <c r="AC13" i="9"/>
  <c r="AB13" i="9"/>
  <c r="AC33" i="8"/>
  <c r="Y33" i="8" s="1"/>
  <c r="E88" i="18" s="1"/>
  <c r="AC32" i="8"/>
  <c r="AB32" i="8"/>
  <c r="H87" i="18" s="1"/>
  <c r="AA32" i="8"/>
  <c r="Z32" i="8"/>
  <c r="AC16" i="8"/>
  <c r="I20" i="18" s="1"/>
  <c r="AB16" i="8"/>
  <c r="AA16" i="8"/>
  <c r="Z16" i="8"/>
  <c r="F20" i="18" s="1"/>
  <c r="AC12" i="8"/>
  <c r="I13" i="18" s="1"/>
  <c r="AC13" i="8"/>
  <c r="I14" i="18" s="1"/>
  <c r="AB12" i="8"/>
  <c r="AB13" i="8"/>
  <c r="F13" i="18"/>
  <c r="AC11" i="8"/>
  <c r="I10" i="18" s="1"/>
  <c r="AB11" i="8"/>
  <c r="H10" i="18" s="1"/>
  <c r="AA11" i="8"/>
  <c r="G10" i="18" s="1"/>
  <c r="Z11" i="8"/>
  <c r="AD33" i="8"/>
  <c r="J88" i="18" s="1"/>
  <c r="AD32" i="8"/>
  <c r="J87" i="18" s="1"/>
  <c r="AE33" i="8"/>
  <c r="K88" i="18" s="1"/>
  <c r="AE32" i="8"/>
  <c r="K87" i="18" s="1"/>
  <c r="AE17" i="8"/>
  <c r="K21" i="18" s="1"/>
  <c r="AE19" i="8"/>
  <c r="K23" i="18" s="1"/>
  <c r="AE16" i="8"/>
  <c r="K20" i="18" s="1"/>
  <c r="AD16" i="8"/>
  <c r="J20" i="18" s="1"/>
  <c r="AE12" i="8"/>
  <c r="K13" i="18" s="1"/>
  <c r="AE13" i="8"/>
  <c r="K14" i="18" s="1"/>
  <c r="AD12" i="8"/>
  <c r="J13" i="18" s="1"/>
  <c r="AD13" i="8"/>
  <c r="J14" i="18" s="1"/>
  <c r="AE11" i="8"/>
  <c r="K10" i="18" s="1"/>
  <c r="AD11" i="8"/>
  <c r="J10" i="18" s="1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E32" i="9"/>
  <c r="AD32" i="9"/>
  <c r="AE26" i="9"/>
  <c r="AD26" i="9"/>
  <c r="AE30" i="9"/>
  <c r="Y30" i="9"/>
  <c r="AE23" i="9"/>
  <c r="AE24" i="9" s="1"/>
  <c r="AD23" i="9"/>
  <c r="AD24" i="9" s="1"/>
  <c r="AE18" i="9"/>
  <c r="K41" i="18" s="1"/>
  <c r="AE16" i="9"/>
  <c r="AD18" i="9"/>
  <c r="J41" i="18" s="1"/>
  <c r="AD16" i="9"/>
  <c r="J39" i="18" s="1"/>
  <c r="AE12" i="9"/>
  <c r="AD12" i="9"/>
  <c r="J24" i="18"/>
  <c r="AE13" i="9"/>
  <c r="AD13" i="9"/>
  <c r="AE37" i="11"/>
  <c r="K93" i="18" s="1"/>
  <c r="AE36" i="11"/>
  <c r="K92" i="18" s="1"/>
  <c r="AE33" i="11"/>
  <c r="K73" i="18" s="1"/>
  <c r="AE32" i="11"/>
  <c r="K72" i="18" s="1"/>
  <c r="AE21" i="11"/>
  <c r="K56" i="18" s="1"/>
  <c r="AE22" i="11"/>
  <c r="K57" i="18" s="1"/>
  <c r="AE23" i="11"/>
  <c r="K58" i="18" s="1"/>
  <c r="AE24" i="11"/>
  <c r="K59" i="18" s="1"/>
  <c r="AE25" i="11"/>
  <c r="K60" i="18" s="1"/>
  <c r="AE26" i="11"/>
  <c r="K61" i="18" s="1"/>
  <c r="AE27" i="11"/>
  <c r="K62" i="18" s="1"/>
  <c r="AE28" i="11"/>
  <c r="K63" i="18" s="1"/>
  <c r="AE29" i="11"/>
  <c r="K64" i="18" s="1"/>
  <c r="AE20" i="11"/>
  <c r="AE16" i="11"/>
  <c r="AE17" i="11"/>
  <c r="K46" i="18" s="1"/>
  <c r="J73" i="18"/>
  <c r="J72" i="18"/>
  <c r="J56" i="18"/>
  <c r="J57" i="18"/>
  <c r="J58" i="18"/>
  <c r="J59" i="18"/>
  <c r="J60" i="18"/>
  <c r="J61" i="18"/>
  <c r="J62" i="18"/>
  <c r="J63" i="18"/>
  <c r="J64" i="18"/>
  <c r="AE34" i="10"/>
  <c r="AE28" i="10"/>
  <c r="K91" i="18" s="1"/>
  <c r="AE27" i="10"/>
  <c r="K90" i="18" s="1"/>
  <c r="AD28" i="10"/>
  <c r="J91" i="18" s="1"/>
  <c r="AD27" i="10"/>
  <c r="J90" i="18" s="1"/>
  <c r="AE22" i="10"/>
  <c r="AE24" i="10"/>
  <c r="K66" i="18" s="1"/>
  <c r="AE21" i="10"/>
  <c r="K54" i="18" s="1"/>
  <c r="AD22" i="10"/>
  <c r="AE12" i="10"/>
  <c r="K40" i="18" s="1"/>
  <c r="AE13" i="10"/>
  <c r="K43" i="18" s="1"/>
  <c r="AE14" i="10"/>
  <c r="K44" i="18" s="1"/>
  <c r="AE15" i="10"/>
  <c r="K45" i="18" s="1"/>
  <c r="AE16" i="10"/>
  <c r="K48" i="18" s="1"/>
  <c r="AE17" i="10"/>
  <c r="K49" i="18" s="1"/>
  <c r="AE18" i="10"/>
  <c r="K51" i="18" s="1"/>
  <c r="AE11" i="10"/>
  <c r="G30" i="11"/>
  <c r="G34" i="11"/>
  <c r="G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X34" i="11"/>
  <c r="W34" i="11"/>
  <c r="V34" i="11"/>
  <c r="U34" i="11"/>
  <c r="T34" i="11"/>
  <c r="R34" i="11"/>
  <c r="P34" i="11"/>
  <c r="O34" i="11"/>
  <c r="N34" i="11"/>
  <c r="M34" i="11"/>
  <c r="L34" i="11"/>
  <c r="K34" i="11"/>
  <c r="J34" i="11"/>
  <c r="I34" i="11"/>
  <c r="H34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X40" i="10"/>
  <c r="W40" i="10"/>
  <c r="V40" i="10"/>
  <c r="U40" i="10"/>
  <c r="T40" i="10"/>
  <c r="S40" i="10"/>
  <c r="Q40" i="10"/>
  <c r="P40" i="10"/>
  <c r="O40" i="10"/>
  <c r="N40" i="10"/>
  <c r="M40" i="10"/>
  <c r="L40" i="10"/>
  <c r="K40" i="10"/>
  <c r="J40" i="10"/>
  <c r="I40" i="10"/>
  <c r="H40" i="10"/>
  <c r="G40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C28" i="10"/>
  <c r="W25" i="10"/>
  <c r="V25" i="10"/>
  <c r="U25" i="10"/>
  <c r="T25" i="10"/>
  <c r="S25" i="10"/>
  <c r="R25" i="10"/>
  <c r="Q25" i="10"/>
  <c r="P25" i="10"/>
  <c r="N25" i="10"/>
  <c r="M25" i="10"/>
  <c r="L25" i="10"/>
  <c r="K25" i="10"/>
  <c r="J25" i="10"/>
  <c r="I25" i="10"/>
  <c r="H25" i="10"/>
  <c r="G25" i="10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X21" i="9"/>
  <c r="W21" i="9"/>
  <c r="V21" i="9"/>
  <c r="U21" i="9"/>
  <c r="T21" i="9"/>
  <c r="T40" i="9" s="1"/>
  <c r="S21" i="9"/>
  <c r="R21" i="9"/>
  <c r="Q21" i="9"/>
  <c r="P21" i="9"/>
  <c r="O21" i="9"/>
  <c r="N21" i="9"/>
  <c r="M21" i="9"/>
  <c r="L21" i="9"/>
  <c r="L40" i="9" s="1"/>
  <c r="K21" i="9"/>
  <c r="J21" i="9"/>
  <c r="I21" i="9"/>
  <c r="H21" i="9"/>
  <c r="G21" i="9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X14" i="8"/>
  <c r="W14" i="8"/>
  <c r="W46" i="8" s="1"/>
  <c r="V14" i="8"/>
  <c r="V46" i="8" s="1"/>
  <c r="U14" i="8"/>
  <c r="U46" i="8" s="1"/>
  <c r="T14" i="8"/>
  <c r="S14" i="8"/>
  <c r="S46" i="8" s="1"/>
  <c r="R14" i="8"/>
  <c r="Q14" i="8"/>
  <c r="Q46" i="8" s="1"/>
  <c r="P14" i="8"/>
  <c r="O14" i="8"/>
  <c r="O46" i="8" s="1"/>
  <c r="N14" i="8"/>
  <c r="N46" i="8" s="1"/>
  <c r="M14" i="8"/>
  <c r="M46" i="8" s="1"/>
  <c r="L14" i="8"/>
  <c r="K14" i="8"/>
  <c r="K46" i="8" s="1"/>
  <c r="J14" i="8"/>
  <c r="J46" i="8" s="1"/>
  <c r="I14" i="8"/>
  <c r="I46" i="8" s="1"/>
  <c r="H14" i="8"/>
  <c r="G14" i="8"/>
  <c r="G46" i="8" s="1"/>
  <c r="U40" i="9" l="1"/>
  <c r="H49" i="11"/>
  <c r="P49" i="11"/>
  <c r="Q49" i="11"/>
  <c r="Q40" i="9"/>
  <c r="S49" i="11"/>
  <c r="H40" i="9"/>
  <c r="L49" i="11"/>
  <c r="AD27" i="9"/>
  <c r="J89" i="18"/>
  <c r="AE27" i="9"/>
  <c r="K89" i="18"/>
  <c r="K94" i="18" s="1"/>
  <c r="AB27" i="9"/>
  <c r="H89" i="18"/>
  <c r="H94" i="18" s="1"/>
  <c r="Y32" i="9"/>
  <c r="Y39" i="9" s="1"/>
  <c r="G55" i="18"/>
  <c r="G67" i="18" s="1"/>
  <c r="M41" i="10"/>
  <c r="I41" i="10"/>
  <c r="Y40" i="10"/>
  <c r="F131" i="18"/>
  <c r="V49" i="11"/>
  <c r="T41" i="10"/>
  <c r="G41" i="10"/>
  <c r="N41" i="10"/>
  <c r="J41" i="10"/>
  <c r="K41" i="10"/>
  <c r="P41" i="10"/>
  <c r="H41" i="10"/>
  <c r="L41" i="10"/>
  <c r="Q41" i="10"/>
  <c r="Y19" i="10"/>
  <c r="AE19" i="10"/>
  <c r="F74" i="18"/>
  <c r="I49" i="11"/>
  <c r="M49" i="11"/>
  <c r="U49" i="11"/>
  <c r="K49" i="11"/>
  <c r="O49" i="11"/>
  <c r="W49" i="11"/>
  <c r="X49" i="11"/>
  <c r="J49" i="11"/>
  <c r="N49" i="11"/>
  <c r="F67" i="18"/>
  <c r="T49" i="11"/>
  <c r="Z49" i="11"/>
  <c r="R49" i="11"/>
  <c r="G49" i="11"/>
  <c r="J74" i="18"/>
  <c r="AC49" i="11"/>
  <c r="Y48" i="11"/>
  <c r="AA27" i="9"/>
  <c r="R46" i="8"/>
  <c r="P40" i="9"/>
  <c r="G18" i="18"/>
  <c r="Y42" i="8"/>
  <c r="AC45" i="8"/>
  <c r="P46" i="8"/>
  <c r="X46" i="8"/>
  <c r="Y13" i="8"/>
  <c r="H14" i="18"/>
  <c r="E14" i="18" s="1"/>
  <c r="Y32" i="8"/>
  <c r="E87" i="18" s="1"/>
  <c r="K131" i="18"/>
  <c r="AE45" i="8"/>
  <c r="AB21" i="8"/>
  <c r="H20" i="18"/>
  <c r="H46" i="8"/>
  <c r="L46" i="8"/>
  <c r="T46" i="8"/>
  <c r="Y12" i="8"/>
  <c r="H13" i="18"/>
  <c r="E13" i="18" s="1"/>
  <c r="Y43" i="8"/>
  <c r="I40" i="9"/>
  <c r="M40" i="9"/>
  <c r="J40" i="9"/>
  <c r="N40" i="9"/>
  <c r="R40" i="9"/>
  <c r="V40" i="9"/>
  <c r="X40" i="9"/>
  <c r="G40" i="9"/>
  <c r="K40" i="9"/>
  <c r="S40" i="9"/>
  <c r="W40" i="9"/>
  <c r="O40" i="9"/>
  <c r="AE14" i="9"/>
  <c r="AB14" i="9"/>
  <c r="J25" i="18"/>
  <c r="AD14" i="9"/>
  <c r="I24" i="18"/>
  <c r="AC14" i="9"/>
  <c r="K25" i="18"/>
  <c r="Y13" i="9"/>
  <c r="J131" i="18"/>
  <c r="AD45" i="8"/>
  <c r="H24" i="18"/>
  <c r="Y11" i="9"/>
  <c r="Z21" i="9"/>
  <c r="Y16" i="9"/>
  <c r="F39" i="18"/>
  <c r="F52" i="18" s="1"/>
  <c r="Y18" i="9"/>
  <c r="Z27" i="9"/>
  <c r="Y26" i="9"/>
  <c r="F25" i="18"/>
  <c r="Y12" i="9"/>
  <c r="Y23" i="9"/>
  <c r="Y24" i="9" s="1"/>
  <c r="Y16" i="8"/>
  <c r="Y21" i="8" s="1"/>
  <c r="G20" i="18"/>
  <c r="Y11" i="8"/>
  <c r="F10" i="18"/>
  <c r="E10" i="18" s="1"/>
  <c r="E42" i="18"/>
  <c r="E41" i="18"/>
  <c r="K42" i="18"/>
  <c r="AE18" i="11"/>
  <c r="J42" i="18"/>
  <c r="J52" i="18" s="1"/>
  <c r="AD18" i="11"/>
  <c r="E74" i="18"/>
  <c r="I52" i="18"/>
  <c r="K39" i="18"/>
  <c r="F24" i="18"/>
  <c r="J55" i="18"/>
  <c r="J67" i="18" s="1"/>
  <c r="K55" i="18"/>
  <c r="K67" i="18" s="1"/>
  <c r="K27" i="18"/>
  <c r="K18" i="18" s="1"/>
  <c r="H27" i="18"/>
  <c r="I55" i="18"/>
  <c r="I67" i="18" s="1"/>
  <c r="AA21" i="9"/>
  <c r="AA40" i="9" s="1"/>
  <c r="G39" i="18"/>
  <c r="G52" i="18" s="1"/>
  <c r="J27" i="18"/>
  <c r="J18" i="18" s="1"/>
  <c r="AB21" i="9"/>
  <c r="H39" i="18"/>
  <c r="H52" i="18" s="1"/>
  <c r="I27" i="18"/>
  <c r="I18" i="18" s="1"/>
  <c r="H55" i="18"/>
  <c r="H67" i="18" s="1"/>
  <c r="G25" i="18"/>
  <c r="K24" i="18"/>
  <c r="K74" i="18"/>
  <c r="O41" i="10"/>
  <c r="X41" i="10"/>
  <c r="AA21" i="8"/>
  <c r="AE21" i="8"/>
  <c r="Z21" i="8"/>
  <c r="AD21" i="8"/>
  <c r="AC21" i="8"/>
  <c r="Y34" i="11"/>
  <c r="AE38" i="11"/>
  <c r="Z34" i="8"/>
  <c r="AA34" i="8"/>
  <c r="AC34" i="8"/>
  <c r="AB34" i="8"/>
  <c r="U41" i="10"/>
  <c r="R41" i="10"/>
  <c r="V41" i="10"/>
  <c r="S41" i="10"/>
  <c r="W41" i="10"/>
  <c r="AE34" i="11"/>
  <c r="Z29" i="10"/>
  <c r="AA14" i="8"/>
  <c r="AE39" i="9"/>
  <c r="AD39" i="9"/>
  <c r="AC14" i="8"/>
  <c r="Z14" i="8"/>
  <c r="AB14" i="8"/>
  <c r="AB30" i="9"/>
  <c r="AC30" i="9"/>
  <c r="AD30" i="9"/>
  <c r="AE21" i="9"/>
  <c r="AC21" i="9"/>
  <c r="AB39" i="9"/>
  <c r="AD21" i="9"/>
  <c r="AC39" i="9"/>
  <c r="AB38" i="11"/>
  <c r="AA25" i="10"/>
  <c r="AA41" i="10" s="1"/>
  <c r="AA38" i="11"/>
  <c r="AA49" i="11" s="1"/>
  <c r="AB34" i="11"/>
  <c r="AD38" i="11"/>
  <c r="AD34" i="11"/>
  <c r="AE30" i="11"/>
  <c r="AE29" i="10"/>
  <c r="AD30" i="11"/>
  <c r="AB25" i="10"/>
  <c r="AB40" i="10"/>
  <c r="AD34" i="8"/>
  <c r="Y38" i="11"/>
  <c r="Y30" i="11"/>
  <c r="AE25" i="10"/>
  <c r="AC25" i="10"/>
  <c r="AC40" i="10"/>
  <c r="AD25" i="10"/>
  <c r="AD29" i="10"/>
  <c r="Z25" i="10"/>
  <c r="AE40" i="10"/>
  <c r="AE14" i="8"/>
  <c r="AD14" i="8"/>
  <c r="AE34" i="8"/>
  <c r="Y25" i="10"/>
  <c r="Y29" i="10"/>
  <c r="AD40" i="10"/>
  <c r="Y34" i="8" l="1"/>
  <c r="Y14" i="8"/>
  <c r="Y41" i="10"/>
  <c r="Z41" i="10"/>
  <c r="I131" i="18"/>
  <c r="E20" i="18"/>
  <c r="H18" i="18"/>
  <c r="AB49" i="11"/>
  <c r="AD49" i="11"/>
  <c r="AE49" i="11"/>
  <c r="G28" i="18"/>
  <c r="G137" i="18" s="1"/>
  <c r="Y49" i="11"/>
  <c r="H28" i="18"/>
  <c r="AC46" i="8"/>
  <c r="AB46" i="8"/>
  <c r="Y27" i="9"/>
  <c r="E89" i="18"/>
  <c r="E94" i="18" s="1"/>
  <c r="J94" i="18"/>
  <c r="AA46" i="8"/>
  <c r="Y45" i="8"/>
  <c r="Z40" i="9"/>
  <c r="AD40" i="9"/>
  <c r="F28" i="18"/>
  <c r="AC40" i="9"/>
  <c r="AB40" i="9"/>
  <c r="AE40" i="9"/>
  <c r="J28" i="18"/>
  <c r="I28" i="18"/>
  <c r="K28" i="18"/>
  <c r="Y21" i="9"/>
  <c r="Y14" i="9"/>
  <c r="AE46" i="8"/>
  <c r="Z46" i="8"/>
  <c r="F18" i="18"/>
  <c r="F137" i="18" s="1"/>
  <c r="Y46" i="8"/>
  <c r="AD46" i="8"/>
  <c r="K52" i="18"/>
  <c r="K137" i="18" s="1"/>
  <c r="AD41" i="10"/>
  <c r="E27" i="18"/>
  <c r="E18" i="18" s="1"/>
  <c r="I102" i="18"/>
  <c r="I137" i="18" s="1"/>
  <c r="E24" i="18"/>
  <c r="E55" i="18"/>
  <c r="E67" i="18" s="1"/>
  <c r="E39" i="18"/>
  <c r="E52" i="18" s="1"/>
  <c r="E25" i="18"/>
  <c r="AE41" i="10"/>
  <c r="AB41" i="10"/>
  <c r="AC41" i="10"/>
  <c r="H137" i="18" l="1"/>
  <c r="J137" i="18"/>
  <c r="E131" i="18"/>
  <c r="Y40" i="9"/>
  <c r="E28" i="18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G40" i="4"/>
  <c r="E137" i="18" l="1"/>
  <c r="AB40" i="4"/>
  <c r="AB46" i="4" s="1"/>
  <c r="Y40" i="4"/>
  <c r="Y46" i="4" s="1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H19" i="4"/>
  <c r="I19" i="4"/>
  <c r="J19" i="4"/>
  <c r="K19" i="4"/>
  <c r="L19" i="4"/>
  <c r="M19" i="4"/>
  <c r="N19" i="4"/>
  <c r="O19" i="4"/>
  <c r="O46" i="4" s="1"/>
  <c r="P19" i="4"/>
  <c r="Q19" i="4"/>
  <c r="R19" i="4"/>
  <c r="S19" i="4"/>
  <c r="T19" i="4"/>
  <c r="U19" i="4"/>
  <c r="V19" i="4"/>
  <c r="W19" i="4"/>
  <c r="X19" i="4"/>
  <c r="H13" i="4"/>
  <c r="I13" i="4"/>
  <c r="I46" i="4" s="1"/>
  <c r="J13" i="4"/>
  <c r="J46" i="4" s="1"/>
  <c r="K13" i="4"/>
  <c r="L13" i="4"/>
  <c r="M13" i="4"/>
  <c r="M46" i="4" s="1"/>
  <c r="N13" i="4"/>
  <c r="N46" i="4" s="1"/>
  <c r="P13" i="4"/>
  <c r="Q13" i="4"/>
  <c r="Q46" i="4" s="1"/>
  <c r="R13" i="4"/>
  <c r="R46" i="4" s="1"/>
  <c r="S13" i="4"/>
  <c r="S46" i="4" s="1"/>
  <c r="T13" i="4"/>
  <c r="U13" i="4"/>
  <c r="V13" i="4"/>
  <c r="W13" i="4"/>
  <c r="X13" i="4"/>
  <c r="W46" i="4" l="1"/>
  <c r="V46" i="4"/>
  <c r="U46" i="4"/>
  <c r="L46" i="4"/>
  <c r="H46" i="4"/>
  <c r="X46" i="4"/>
  <c r="T46" i="4"/>
  <c r="P46" i="4"/>
  <c r="K46" i="4"/>
  <c r="G30" i="4"/>
  <c r="G19" i="4"/>
  <c r="G46" i="4" s="1"/>
  <c r="D17" i="5"/>
  <c r="D15" i="20"/>
</calcChain>
</file>

<file path=xl/sharedStrings.xml><?xml version="1.0" encoding="utf-8"?>
<sst xmlns="http://schemas.openxmlformats.org/spreadsheetml/2006/main" count="2156" uniqueCount="582">
  <si>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</si>
  <si>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</si>
  <si>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</si>
  <si>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</si>
  <si>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</si>
  <si>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</si>
  <si>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</si>
  <si>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</si>
  <si>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</si>
  <si>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</si>
  <si>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</si>
  <si>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</si>
  <si>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</si>
  <si>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</si>
  <si>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</si>
  <si>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</si>
  <si>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</si>
  <si>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</si>
  <si>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</si>
  <si>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</si>
  <si>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</si>
  <si>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</si>
  <si>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</si>
  <si>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</si>
  <si>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</si>
  <si>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</si>
  <si>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</si>
  <si>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</si>
  <si>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</si>
  <si>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</si>
  <si>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</si>
  <si>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</si>
  <si>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</si>
  <si>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</si>
  <si>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</si>
  <si>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</si>
  <si>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</si>
  <si>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</si>
  <si>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</si>
  <si>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</si>
  <si>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</si>
  <si>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</si>
  <si>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</si>
  <si>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</si>
  <si>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</si>
  <si>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</si>
  <si>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</si>
  <si>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</si>
  <si>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</si>
  <si>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</si>
  <si>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</si>
  <si>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</si>
  <si>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</si>
  <si>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</si>
  <si>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</si>
  <si>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</si>
  <si>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</si>
  <si>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</si>
  <si>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</si>
  <si>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</si>
  <si>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</si>
  <si>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</si>
  <si>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</si>
  <si>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</si>
  <si>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</si>
  <si>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</si>
  <si>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</si>
  <si>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</si>
  <si>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</si>
  <si>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</si>
  <si>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</si>
  <si>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</si>
  <si>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</si>
  <si>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</si>
  <si>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</si>
  <si>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</si>
  <si>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</si>
  <si>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</si>
  <si>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</si>
  <si>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</si>
  <si>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</si>
  <si>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</si>
  <si>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</si>
  <si>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</si>
  <si>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</si>
  <si>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</si>
  <si>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</si>
  <si>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</si>
  <si>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</si>
  <si>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</si>
  <si>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</si>
  <si>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</si>
  <si>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</si>
  <si>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</si>
  <si>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</si>
  <si>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</si>
  <si>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</si>
  <si>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</si>
  <si>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</si>
  <si>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</si>
  <si>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</si>
  <si>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</si>
  <si>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</si>
  <si>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</si>
  <si>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I rok</t>
  </si>
  <si>
    <t>III rok</t>
  </si>
  <si>
    <t>IV rok</t>
  </si>
  <si>
    <t>V rok</t>
  </si>
  <si>
    <t>Wychowanie fizyczne</t>
  </si>
  <si>
    <t>I ROK</t>
  </si>
  <si>
    <r>
      <rPr>
        <sz val="18"/>
        <color indexed="8"/>
        <rFont val="Roboto"/>
        <charset val="238"/>
      </rPr>
      <t>KIERUNEK:</t>
    </r>
    <r>
      <rPr>
        <b/>
        <sz val="18"/>
        <color indexed="8"/>
        <rFont val="Roboto"/>
        <charset val="238"/>
      </rPr>
      <t xml:space="preserve"> LEKARSKI</t>
    </r>
  </si>
  <si>
    <r>
      <t>Instytut:</t>
    </r>
    <r>
      <rPr>
        <b/>
        <sz val="16"/>
        <color indexed="8"/>
        <rFont val="Roboto"/>
        <charset val="238"/>
      </rPr>
      <t xml:space="preserve"> Nauk Medycznych</t>
    </r>
  </si>
  <si>
    <t>Zaburzenia homeostazy komórek nabłonkowych</t>
  </si>
  <si>
    <t>Aktywne składniki materii żywej</t>
  </si>
  <si>
    <t>Nowoczesne techniki mikroskopowe w medycynie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</si>
  <si>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</si>
  <si>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</si>
  <si>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</si>
  <si>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</si>
  <si>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</si>
  <si>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</si>
  <si>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</si>
  <si>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</si>
  <si>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</si>
  <si>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</si>
  <si>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</si>
  <si>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</si>
  <si>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</si>
  <si>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</si>
  <si>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</si>
  <si>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</si>
  <si>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</si>
  <si>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</si>
  <si>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</si>
  <si>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</si>
  <si>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</si>
  <si>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</si>
  <si>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</si>
  <si>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</si>
  <si>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</si>
  <si>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</si>
  <si>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</si>
  <si>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</si>
  <si>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</si>
  <si>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</si>
  <si>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</si>
  <si>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</si>
  <si>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</si>
  <si>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</si>
  <si>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</si>
  <si>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</si>
  <si>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</si>
  <si>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</si>
  <si>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</si>
  <si>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</si>
  <si>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</si>
  <si>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</si>
  <si>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</si>
  <si>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</si>
  <si>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</si>
  <si>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</si>
  <si>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</si>
  <si>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</si>
  <si>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</si>
  <si>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</si>
  <si>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</si>
  <si>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</si>
  <si>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</si>
  <si>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</si>
  <si>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</si>
  <si>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</si>
  <si>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</si>
  <si>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</si>
  <si>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</si>
  <si>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</si>
  <si>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</si>
  <si>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</si>
  <si>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</si>
  <si>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</si>
  <si>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</si>
  <si>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</si>
  <si>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</si>
  <si>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</si>
  <si>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</si>
  <si>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</si>
  <si>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</si>
  <si>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</si>
  <si>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</si>
  <si>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</si>
  <si>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</si>
  <si>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</si>
  <si>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</si>
  <si>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</si>
  <si>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</si>
  <si>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3/4</t>
  </si>
  <si>
    <t>Specyfika narządowa raportów patomorfologicznych nowotworów</t>
  </si>
  <si>
    <t>Metody diagnostyki patomorfologicznej i molekularnej</t>
  </si>
  <si>
    <t>9,10</t>
  </si>
  <si>
    <t>Język obcy**</t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</si>
  <si>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</si>
  <si>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</si>
  <si>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</si>
  <si>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</si>
  <si>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</si>
  <si>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</si>
  <si>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</si>
  <si>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</si>
  <si>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</si>
  <si>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</si>
  <si>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</si>
  <si>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</si>
  <si>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</si>
  <si>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</si>
  <si>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</si>
  <si>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</si>
  <si>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</si>
  <si>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</si>
  <si>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</si>
  <si>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</si>
  <si>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</si>
  <si>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</si>
  <si>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</si>
  <si>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</si>
  <si>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</si>
  <si>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</si>
  <si>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</si>
  <si>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</si>
  <si>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</si>
  <si>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</si>
  <si>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</si>
  <si>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</si>
  <si>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</si>
  <si>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</si>
  <si>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</si>
  <si>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</si>
  <si>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</si>
  <si>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</si>
  <si>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</si>
  <si>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</si>
  <si>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</si>
  <si>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</si>
  <si>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</si>
  <si>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</si>
  <si>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</si>
  <si>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</si>
  <si>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</si>
  <si>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</si>
  <si>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*- student wybiera seminaria/ćwiczenia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Załącznikiem 1 do rozporzżdzenia Ministra Nauki i Szkolnictwa Wyższego z dnia 9 maja 2012 r.( poz 631)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</si>
  <si>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</si>
  <si>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</si>
  <si>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</si>
  <si>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</si>
  <si>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</si>
  <si>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</si>
  <si>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</si>
  <si>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</si>
  <si>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</si>
  <si>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</si>
  <si>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</si>
  <si>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</si>
  <si>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</si>
  <si>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</si>
  <si>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</si>
  <si>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</si>
  <si>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</si>
  <si>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</si>
  <si>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</si>
  <si>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</si>
  <si>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</si>
  <si>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</si>
  <si>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</si>
  <si>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</si>
  <si>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</si>
  <si>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</si>
  <si>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</si>
  <si>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</si>
  <si>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</si>
  <si>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</si>
  <si>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</si>
  <si>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</si>
  <si>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</si>
  <si>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</si>
  <si>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</si>
  <si>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</si>
  <si>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</si>
  <si>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</si>
  <si>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</si>
  <si>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</si>
  <si>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</si>
  <si>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</si>
  <si>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</si>
  <si>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</si>
  <si>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</si>
  <si>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</si>
  <si>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</si>
  <si>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</si>
  <si>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</si>
  <si>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</si>
  <si>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</si>
  <si>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</si>
  <si>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</si>
  <si>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</si>
  <si>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Zajęcia fakultatywne-przygotowanie do Lekarskiego Egzaminu Końcowego**</t>
  </si>
  <si>
    <t xml:space="preserve">** Student musi wybrać dowolne moduły uzyskując określoną w planie studiów liczbę ECTS w skali semestru i roku akademickiego </t>
  </si>
  <si>
    <t>8,1</t>
  </si>
  <si>
    <t>8,2</t>
  </si>
  <si>
    <t>0912-7LEK-A4,6-JA</t>
  </si>
  <si>
    <t>0912-7LEK-A10,2-JŁ</t>
  </si>
  <si>
    <t>4,6</t>
  </si>
  <si>
    <t>Komunikacja z pacjentem i jego rodziną</t>
  </si>
  <si>
    <t>Metodologia badań naukowych z elementami biostatystki w medycnie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</si>
  <si>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</si>
  <si>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</si>
  <si>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</si>
  <si>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</si>
  <si>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</si>
  <si>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</si>
  <si>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</si>
  <si>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t>Zajęcia fakultatywne**</t>
  </si>
  <si>
    <t xml:space="preserve">** do wyboru w formie ćwiczeń lub wykładów </t>
  </si>
  <si>
    <t>0912-7LEK-F-3-NST</t>
  </si>
  <si>
    <t>0912-7LEK-C5.1-P</t>
  </si>
  <si>
    <t>0912-7LEK-C5.2-CW</t>
  </si>
  <si>
    <t>Język obcy **</t>
  </si>
  <si>
    <t>0912-7LEK-B2.8-Mbm</t>
  </si>
  <si>
    <t xml:space="preserve">Podstawy biologii komórki </t>
  </si>
  <si>
    <t>Z NASTĘPUJĄCYCH PRZEDMIOTÓW CZĘŚĆ WYKŁADÓW JEST REALIZOWANA W FORMIE E-LEARNINGU:</t>
  </si>
  <si>
    <t>1. Podstawy biologii komórki (5 godzin w semestrze letnim)</t>
  </si>
  <si>
    <t>2. Chemia (5 godzin w semestrze zimowym)</t>
  </si>
  <si>
    <t>3. Biostatystyka z elementami informatyki (5 godzin w semestrze zimowym i 5 godzin w semestrze letnim)</t>
  </si>
  <si>
    <t>2. Biochemia (5 godzin w semestrze zimowym)</t>
  </si>
  <si>
    <t>Leczenie skojarzone</t>
  </si>
  <si>
    <t>1 i 2</t>
  </si>
  <si>
    <t xml:space="preserve">Rodzaj zajęć: grupa I (W-wykład, WS-wykład specjalistyczny) grupa II (C-ćwiczenia, K-konwersatorium, L-laboratorium, P-praktyki, S-seminarium, W-warsztaty) grupa III (PW-projekt własny, E-e-learning)  </t>
  </si>
  <si>
    <t>I/W</t>
  </si>
  <si>
    <t>II/C</t>
  </si>
  <si>
    <t>II/CP/P</t>
  </si>
  <si>
    <t>II/L</t>
  </si>
  <si>
    <t>II/CP/L</t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</si>
  <si>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                                                                                     </t>
    </r>
    <r>
      <rPr>
        <sz val="8"/>
        <color indexed="8"/>
        <rFont val="Roboto"/>
        <charset val="238"/>
      </rPr>
      <t>Rodzaj zajęć: grupa I (W-wykład, WS-wykład specjalistyczny) grupa II (C-ćwiczenia, K-konwersatorium, L-laboratorium, P-praktyki, S-seminarium, W-warsztaty) grupa III (PW-projekt własny, E-e-learning</t>
    </r>
  </si>
  <si>
    <r>
      <t xml:space="preserve">* Zajęcia fakultatywne </t>
    </r>
    <r>
      <rPr>
        <sz val="14"/>
        <rFont val="Roboto"/>
        <charset val="238"/>
      </rPr>
      <t>(student w pierwszym semestrze wybiera 1 z 2, w drugim semestrze wybiera 1 z 2)</t>
    </r>
  </si>
  <si>
    <r>
      <t>Instytut:</t>
    </r>
    <r>
      <rPr>
        <b/>
        <sz val="16"/>
        <rFont val="Roboto"/>
        <charset val="238"/>
      </rPr>
      <t xml:space="preserve"> Nauk Medycznych</t>
    </r>
  </si>
  <si>
    <r>
      <rPr>
        <sz val="18"/>
        <rFont val="Roboto"/>
        <charset val="238"/>
      </rPr>
      <t>KIERUNEK:</t>
    </r>
    <r>
      <rPr>
        <b/>
        <sz val="18"/>
        <rFont val="Roboto"/>
        <charset val="238"/>
      </rPr>
      <t xml:space="preserve"> LEKARSKI</t>
    </r>
  </si>
  <si>
    <r>
      <t xml:space="preserve">* Zajęcia fakultatywne </t>
    </r>
    <r>
      <rPr>
        <sz val="14"/>
        <rFont val="Roboto"/>
        <charset val="238"/>
      </rPr>
      <t>(student wybiera w 5 semestrze 4 z 5 (2 w formie wykładowej i 2 w formie ćwiczeniowej); w 6 semestrze 3 z 4)</t>
    </r>
  </si>
  <si>
    <t>Kod</t>
  </si>
  <si>
    <t>Realizacja
 w semestrze</t>
  </si>
  <si>
    <t>55</t>
  </si>
  <si>
    <t>4. Historia medycyny (5 godzin w semestrze zimowym)</t>
  </si>
  <si>
    <t>4. Mikrobiologia (5 godzin w semestrze zimowym)</t>
  </si>
  <si>
    <t>PRZEDMIOTY FAKULTATYWNE (ogółem 25 godzin):</t>
  </si>
  <si>
    <t>1. Przedmiot fakultatywny - seminaria: 5 godzin w semestrze zimowym</t>
  </si>
  <si>
    <t>Do wyboru: - Praktyka medyczna oparta na dowodach naukowych (EBM) lub Język obcy</t>
  </si>
  <si>
    <t xml:space="preserve">2. Przedmiot fakultatywny - wykłady: 5 godzin w semestrze zimowym </t>
  </si>
  <si>
    <t xml:space="preserve">Do wyboru: Żywność modyfikowana genetycznie lub Racjonalna antybiotykoterapia lub Molekularne podstawy działania narządów zmysłów </t>
  </si>
  <si>
    <t>PRZEDMIOTY WSPARCIA (ogółem 25 godzin):</t>
  </si>
  <si>
    <t>15 godzin w semestrze zimowym i 10 godzin w semestrze letnim</t>
  </si>
  <si>
    <t>1. Patologia (5 godzin w semestrze zimowym i 5 godzin w semestrze letnim)</t>
  </si>
  <si>
    <t>PRZEDMIOTY FAKULTATYWNE (ogółem 35 godzin):</t>
  </si>
  <si>
    <t>1. Przedmiot fakultatywny - wykłady: 5 godzin w semestrze zimowym</t>
  </si>
  <si>
    <t xml:space="preserve">2. Przedmiot fakultatywny - seminaria: 5 godzin w semestrze zimowym </t>
  </si>
  <si>
    <t>Do wyboru: Nowoczesne techniki mikroskopowe w medycynie lub Interwencja kryzysowa lub Język migowy</t>
  </si>
  <si>
    <t>1. Choroby zakaźne (12 godzin w semestrze zimowym)</t>
  </si>
  <si>
    <t>2. Pediatria (3 godziny w semestrze zimowym i 3 godziny w semestrze letnim)</t>
  </si>
  <si>
    <t>3. Choroby wewnętrzne (3 godziny w semestrze zimowym i 3 godziny w semestrze letnim)</t>
  </si>
  <si>
    <t>5. Psychiatria (3 godziny w semestrze letnim)</t>
  </si>
  <si>
    <t>7. Farmakologia kliniczna (3 godziny w semestrze letnim)</t>
  </si>
  <si>
    <t>8. Rehabilitacja (3 godziny w semestrze zimowym)</t>
  </si>
  <si>
    <t>PRZEDMIOTY FAKULTATYWNE (ogółem 30 godzin):</t>
  </si>
  <si>
    <t>Do wyboru: Dermatologia pediatryczna lub Farmakoekonomika lub Zakażenia wirusami przenoszonymi drogą krwi lub Endokrynologia dziecieca</t>
  </si>
  <si>
    <t>2. Przedmiot fakultatywny - wykłady: 5 godzin w semestrze letnim</t>
  </si>
  <si>
    <t>Do wyboru: Chirurgia endoskopowa i laparoskopowa lub Pediatria - kardiologia dziecięca lub Terapia bólu lub Choroby płuc lub Chirurgia naczyniowa</t>
  </si>
  <si>
    <t>0912-7LEK-B2.1-B</t>
  </si>
  <si>
    <t>0912-7LEK-F-5-MOD</t>
  </si>
  <si>
    <t>0912-7LEK-F-6-ZMG</t>
  </si>
  <si>
    <t>0912-7LEK-B4,7-KI</t>
  </si>
  <si>
    <t>0912-7LEK-F14-JO</t>
  </si>
  <si>
    <t>HARMONOGRAM REALIZACJI PROGRAMU STUDIÓW STACJONARNYCH JEDNOLITYCH MAGISTERSKICH</t>
  </si>
  <si>
    <t>* Grupa przedmiotów w zakresie wsparcia studentów
w procesie uczenia się</t>
  </si>
  <si>
    <t>* Grupa przedmiotów w zakresie wsparcia studentów w procesie uczenia się:</t>
  </si>
  <si>
    <t>1.GRUPA ZAJĘĆ Nauki morfologiczne</t>
  </si>
  <si>
    <t>2.GRUPA ZAJĘĆ Naukowe podstawy medycyny</t>
  </si>
  <si>
    <t>4. GRUPA ZAJĘĆ Nauki behawioralne i społeczne z elementami profesjonalizmu</t>
  </si>
  <si>
    <t>10. PRZEDMIOTY OGÓLNOUCZELNIANE</t>
  </si>
  <si>
    <t>11. GRUPA PRZEDMIOTÓW FAKULTATYWNCYH</t>
  </si>
  <si>
    <t>9. GRUPA ZAJĘĆ Praktyki wakacyjne</t>
  </si>
  <si>
    <t>8. GRUPA ZAJĘĆ Praktyki wakacyjne</t>
  </si>
  <si>
    <t>11. GRUPA PRZEDMIOTÓW FAKULTATYWNYCH</t>
  </si>
  <si>
    <t>11. GUPA PRZEDMIOTÓW FAKULTATYWNYCH</t>
  </si>
  <si>
    <t>12.GRUPA PRZEDMIOTÓW FAKULTATYWNYCH</t>
  </si>
  <si>
    <t>12. GRUPA PRZEDMIOTÓW FAKULTATYWNYCH</t>
  </si>
  <si>
    <t>11. GRUPA PRZEDMIOTÓW FAKULTATYWNYCH**</t>
  </si>
  <si>
    <t>3. GRUPA ZAJĘĆ Nauki przedkliniczne</t>
  </si>
  <si>
    <t>7. GRUPA ZAJĘĆ Prawne i organizacyjne podstawy medycyny</t>
  </si>
  <si>
    <t>5. GRUPA ZAJĘĆ Nauki kliniczne niezabiegowe</t>
  </si>
  <si>
    <t>6. GRUPA ZAJĘĆ Nauki kliniczne zabiegowe</t>
  </si>
  <si>
    <t>8. GRUPA ZAJĘĆ Praktyczne nauczanie kliniczne*</t>
  </si>
  <si>
    <t>8. GRUPA ZAJĘĆ Praktyczne nauczanie kliniczne</t>
  </si>
  <si>
    <t>Szkolenie biblioteczne</t>
  </si>
  <si>
    <t>0912-7LEK-A10,3-PB</t>
  </si>
  <si>
    <t>0912-7LEK-A10,4-BHP</t>
  </si>
  <si>
    <t>0912-7LEK-A10,5-WF</t>
  </si>
  <si>
    <t>Strukturalne podstawy interwencji sercowo-naczyniowych (w języku angielskim)</t>
  </si>
  <si>
    <t>Nieprawidłowości struktur tkankowych (w języku angielskim)</t>
  </si>
  <si>
    <t>Rozwój kompetencji w zakresie technik mikrochirurgicznych w medycynie</t>
  </si>
  <si>
    <t>Metodologia badań naukowych z elementami biostatystyki w medycynie</t>
  </si>
  <si>
    <t>1. Metodologia badań naukowych z elementami biostatystki w medycnie (3 godziny w semestrze zimowym)</t>
  </si>
  <si>
    <t>2. Chirurgia ogólna (3 godziny w semestrze zimowym i 3 godziny w semestrze letnim)</t>
  </si>
  <si>
    <t>3. Chirurgia dziecięca (3 godziny w semestrze zimowym)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</si>
  <si>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</si>
  <si>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</si>
  <si>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</si>
  <si>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</si>
  <si>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8. Medycyna ratunkowa i katastrof (3 godziny w semestrze letnim)</t>
  </si>
  <si>
    <t>9. Ginekologia i położnictwo (3 godziny w semestrze zimowym i 3 godziny w semestrze letnim)</t>
  </si>
  <si>
    <t>10. Okulistyka (3 godziny w semestrze letnim)</t>
  </si>
  <si>
    <t>11. Transplantologia (3 godziny w semestrze zimowym)</t>
  </si>
  <si>
    <t>12. Neurochirurgia (3 godziny w semestrze letnim)</t>
  </si>
  <si>
    <t>1. Medycyna rodzinna (5 godzin w semestrze zimowym)</t>
  </si>
  <si>
    <t>1. Przedmiot fakultatywny - wykłady+seminaria: 5+5 godzin w semestrze zimowym</t>
  </si>
  <si>
    <t xml:space="preserve">Do wyboru: Hipertensjologia lub Gastroenterologia dziecięca lub Alergologia lub Kardiologia interwencyjna lub Żywienie kliniczne lub Anestezsjologia i intenstywna terapia dziecięca lub Leczenie skojarzone loub Elektrokardiografia lub Traumatologia dziecięca lub  </t>
  </si>
  <si>
    <t>Diagnostyka obrazowa w stanach nagłych lub Radioterapia lub znaczenie profili genetycznych w leczeniu onkologicznym lub chirurgia bariatryczna</t>
  </si>
  <si>
    <t>2. Przedmiot fakultatywny - seminaria: 5 godzin w semestrze zimowym</t>
  </si>
  <si>
    <t>Do wyboru: Psychiatria dorosłych lub Metodyka pisania prac naukowych lub Choroby metaboliczne lub Psychiatria dzieci i młodzieży lub Radiologia w pediatrii</t>
  </si>
  <si>
    <t>Przedmiot fakultatywny LEK</t>
  </si>
  <si>
    <t>3. Przedmiot fakultatywny - wykłady: 5 godzin w semestrze letnim</t>
  </si>
  <si>
    <t>Do wyboru: Bezpieczeństwo pacjenta lub Farmakogenetyka lub Podstawy kodowania i rozliczania świadczeń w ramach umów z płatnikiem publicznym</t>
  </si>
  <si>
    <t>5-11</t>
  </si>
  <si>
    <t>5,7,8,9,10</t>
  </si>
  <si>
    <t>10,6</t>
  </si>
  <si>
    <t>10,7</t>
  </si>
  <si>
    <t>10,8</t>
  </si>
  <si>
    <t>10,9</t>
  </si>
  <si>
    <t>10,10</t>
  </si>
  <si>
    <t>4. Neurologia (3 godziny w semestrze zimowym)</t>
  </si>
  <si>
    <t>6. Onkologia (3 godziny w semestrze zimowym)</t>
  </si>
  <si>
    <t>12. GRUPA ZAJĘĆ Bezpieczeństwo w zakładach ochrony zdrowia</t>
  </si>
  <si>
    <t xml:space="preserve">BHP w zakładach ochrony zdrowia </t>
  </si>
  <si>
    <t xml:space="preserve">Bezpieczeństwo epidemiologiczne </t>
  </si>
  <si>
    <t xml:space="preserve">Bezpieczeństwo przeciwpożarowe </t>
  </si>
  <si>
    <t>12.1</t>
  </si>
  <si>
    <t>12.2</t>
  </si>
  <si>
    <t>12.3</t>
  </si>
  <si>
    <t>0912-7LEK-A12.1-BHPoz</t>
  </si>
  <si>
    <t>0912-7LEK-A12.1-BPpoż</t>
  </si>
  <si>
    <t>0912-7LEK-A12.1-BEp</t>
  </si>
  <si>
    <t>1. Choroby zakaźne (3 godziny w semestrze zimowym)</t>
  </si>
  <si>
    <t xml:space="preserve">5. Przedmiot fakultatywny - wykłady: 5 godzin w semestrze letnim </t>
  </si>
  <si>
    <t>2. Farmakologia z toksykologią (3 godziny w semestrze zimowym i 3 godziny w semestrze letnim)</t>
  </si>
  <si>
    <t>5. Anatomia (2 godziny w semestrze zimowym i 2 godziny w semestrze letnim)</t>
  </si>
  <si>
    <t>6. Histiologia z embriologią (5 godzin w semestrze zimowym)</t>
  </si>
  <si>
    <t>1. Anatomia (14 godzin w semestrze zimowym i 12 godzin w semestrze letnim)</t>
  </si>
  <si>
    <t>2. Histologia z embriologią (5 godzin w semestrze zimowym i 5 godzin w semestrze letnim)</t>
  </si>
  <si>
    <t>3. Język angielski - 5 godzin w semestrze zimowym i 5 godzin w semestrze letnim)</t>
  </si>
  <si>
    <t>1. Histologia z embriologią (5 godzin w semestrze zimowym i 5 godzin w semestrze letnim)</t>
  </si>
  <si>
    <t xml:space="preserve">PRZEDMIOTY FAKULTATYWNE (ogółem 10 godzin): </t>
  </si>
  <si>
    <t>1. Zaburzenia homeostazy komórek nabłonkowych (5 godzin w semestrze zimowym)</t>
  </si>
  <si>
    <t>2. Nieprawidłowości struktur tkankowych (w języku angielskim) (5 godzin w semestrze zimowym)</t>
  </si>
  <si>
    <t>3. Struktury ciała ludzkiego w badaniach obrazowych (5 godzin w semestrze letnim)</t>
  </si>
  <si>
    <t>4. Strukturalne podstawy interwencji sercowo-naczyniowych (w języku angielskim) (5 godzin w semestrze letnim)</t>
  </si>
  <si>
    <t>Propedeutyka stomatologii</t>
  </si>
  <si>
    <t>3. Fizjologia z cytofizjologią (5 godzin w semestrze zimowym i 5 godzin w semestrze letnim)</t>
  </si>
  <si>
    <t>1. Fizjologia z cytofizjologią (5 godzin w semestrze zimowym i 5 godzin w semestrze letnim)</t>
  </si>
  <si>
    <t xml:space="preserve">PRZEDMIOTY FAKULTATYWNE (ogółem 25 godzin): </t>
  </si>
  <si>
    <t>3. Przedmiot fakultatywny - seminaria: 5 godzin w semestrze letnim</t>
  </si>
  <si>
    <t>Do wyboru: - Elektrofizjologia lub Język obcy</t>
  </si>
  <si>
    <t xml:space="preserve">Do wyboru: Inżynieria genetyczna lub Aparatura medyczna lub Immunologia onkologiczna lub Hemostaza i tromboza lub Propedeutyka stomatologii </t>
  </si>
  <si>
    <t>2. Farmakologia z toksykologią (5 godzin w semestrze zimowym i 5 godzin w semestrze letnim)</t>
  </si>
  <si>
    <t xml:space="preserve">4. Diagnostyka laboratoryjna (3 godziny w semestrze zimowym) </t>
  </si>
  <si>
    <t xml:space="preserve">4. Diagnostyka laboratoryjna (10 godzin w semestrze zimowym) </t>
  </si>
  <si>
    <t>9. Anestezjologia i intensywna terapia (3 godziny w semestrze zimowym)</t>
  </si>
  <si>
    <t>11. Chirurgia ogólna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</si>
  <si>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</si>
  <si>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</si>
  <si>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</si>
  <si>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</si>
  <si>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>13. Pediatria (3 godziny w semestrze zimowym)</t>
  </si>
  <si>
    <t>2. Ginekologia i położnictwo (5 godzin w zimowym)</t>
  </si>
  <si>
    <t xml:space="preserve">3. Chirurgia ogólna (3 godziny w semestrze zimowym) 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</si>
  <si>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</si>
  <si>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</si>
  <si>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</si>
  <si>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</si>
  <si>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PRZEDMIOTY OBOWIĄZKOWE - seminaria (ogółem 46 godzin):</t>
  </si>
  <si>
    <t>PRZEDMIOTY OBOWIĄZKOWE - ćwiczenia praktyczne (ogółem 10 godzin):</t>
  </si>
  <si>
    <t>PRZEDMIOTY OBOWIĄZKOWE - seminaria (ogółem 10 godzin):</t>
  </si>
  <si>
    <t>PRZEDMIOTY OBOWIĄZKOWE - laboratoria (ogółem 10 godzin):</t>
  </si>
  <si>
    <t>PRZEDMIOTY OBOWIĄZKOWE - seminaria (ogółem 22 godziny):</t>
  </si>
  <si>
    <t>W planach studiów na kierunku lekarskim propwadzonym w języku polskim w formie stacjonarnej przewidziano ogółem 20 punktów ECTS (500 godzin)  z wykorzystaniem metod i technik kształcenia na odległość (e-learning)</t>
  </si>
  <si>
    <t>3. Patofizjologia (5 godzin w semestrze zimowym i 5 godzin w semestrze letnim)</t>
  </si>
  <si>
    <t>3. Patofizjologia (3 godziny w semestrze zimowym i 3 godziny w semestrze letnim)</t>
  </si>
  <si>
    <t>10. Diagnostyka obrazowa (3 godziny w semestrze zimowym)</t>
  </si>
  <si>
    <t>5. Komunikacja z pacjentem i jego rodziną (5 godzin w semestrze letnim)</t>
  </si>
  <si>
    <t>1. Biofizyka (5 godzin w semestrze zimowym)</t>
  </si>
  <si>
    <t>Ogółem e-learning: 100 godzin (4 ECTS)</t>
  </si>
  <si>
    <t>PRZEDMIOTY OBOWIĄZKOWE - wykłady (ogółem 34 godziny):</t>
  </si>
  <si>
    <t xml:space="preserve">Ogółem e-learning: 100 godzin (4 ECTS) </t>
  </si>
  <si>
    <t>PRZEDMIOTY OBOWIĄZKOWE - wykłady (ogółem 30 godzin)</t>
  </si>
  <si>
    <t>PRZEDMIOTY OBOWIĄZKOWE - wykłady (ogółem 33 godziny):</t>
  </si>
  <si>
    <t>PRZEDMIOTY OBOWIĄZKOWE - seminaria (ogółem 32 godziny):</t>
  </si>
  <si>
    <t>PRZEDMIOTY OBOWIĄZKOWE - wykłady (ogółem 48 godzin):</t>
  </si>
  <si>
    <t>PRZEDMIOTY OBOWIĄZKOWE - wykłady (ogółem 45 godzin):</t>
  </si>
  <si>
    <t>PRZEDMIOTY OBOWIĄZKOWE - seminaria  (ogółem 30 godzin):</t>
  </si>
  <si>
    <t>6-8, 10</t>
  </si>
  <si>
    <r>
      <rPr>
        <sz val="16"/>
        <rFont val="Roboto"/>
        <charset val="238"/>
      </rPr>
      <t>Wydział:</t>
    </r>
    <r>
      <rPr>
        <b/>
        <sz val="16"/>
        <rFont val="Roboto"/>
        <charset val="238"/>
      </rPr>
      <t xml:space="preserve"> Collegium Medicum</t>
    </r>
  </si>
  <si>
    <r>
      <rPr>
        <sz val="16"/>
        <color indexed="8"/>
        <rFont val="Roboto"/>
        <charset val="238"/>
      </rPr>
      <t>Wydział:</t>
    </r>
    <r>
      <rPr>
        <b/>
        <sz val="16"/>
        <color indexed="8"/>
        <rFont val="Roboto"/>
        <charset val="238"/>
      </rPr>
      <t xml:space="preserve"> Collegium Medicum</t>
    </r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</si>
  <si>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Collegium Medicum</t>
    </r>
  </si>
  <si>
    <t xml:space="preserve">Traumatologia narządu ruchu </t>
  </si>
  <si>
    <t xml:space="preserve">Molekularne podstawy chorób trzustki </t>
  </si>
  <si>
    <t>Biologia molekularna w medycynie</t>
  </si>
  <si>
    <t xml:space="preserve">Elektrofizjologia w kardiologii </t>
  </si>
  <si>
    <t>Diagnostyka kliniczna</t>
  </si>
  <si>
    <t>56</t>
  </si>
  <si>
    <t>57</t>
  </si>
  <si>
    <t>0912-7LEK-F57-TR</t>
  </si>
  <si>
    <t>0912-7LEK-F15-PS</t>
  </si>
  <si>
    <t>0912-7LEK-3.2-MP</t>
  </si>
  <si>
    <t>0912-7LEK-F-18-MPCT</t>
  </si>
  <si>
    <t>0912-7LEK-F-23-EK</t>
  </si>
  <si>
    <t>Farmakologia z toksykologią</t>
  </si>
  <si>
    <t>0912-7LEK-C3.6-ZS</t>
  </si>
  <si>
    <t>0912-7LEK-C3.7-P</t>
  </si>
  <si>
    <t>Przypadki laboratoryjno-kliniczne</t>
  </si>
  <si>
    <t xml:space="preserve">Mikrobiologia </t>
  </si>
  <si>
    <t>3,3</t>
  </si>
  <si>
    <t>3,7</t>
  </si>
  <si>
    <t>0912-7LEK-3.3-P</t>
  </si>
  <si>
    <t xml:space="preserve">Parazytologia </t>
  </si>
  <si>
    <r>
      <t xml:space="preserve">* Zajęcia fakultatywne </t>
    </r>
    <r>
      <rPr>
        <sz val="14"/>
        <rFont val="Roboto"/>
        <charset val="238"/>
      </rPr>
      <t>(student wybiera w 3 semestrze 3 z 5; w 4 semestrze 2 z 7)</t>
    </r>
  </si>
  <si>
    <t>Echokardiografia</t>
  </si>
  <si>
    <t>Stany nagłe w anestezjologii</t>
  </si>
  <si>
    <t>61</t>
  </si>
  <si>
    <t xml:space="preserve">Profilaktyka żywieniowa </t>
  </si>
  <si>
    <t>62</t>
  </si>
  <si>
    <t xml:space="preserve">Szycie chirurgiczne </t>
  </si>
  <si>
    <t>63</t>
  </si>
  <si>
    <t xml:space="preserve">Opatrywanie ran </t>
  </si>
  <si>
    <t>64</t>
  </si>
  <si>
    <t>Żywienie w otyłości i chorobach metabolicznych</t>
  </si>
  <si>
    <t>65</t>
  </si>
  <si>
    <t>0912-7LEK-D-Z</t>
  </si>
  <si>
    <t>66</t>
  </si>
  <si>
    <t xml:space="preserve">Odpowiedzialność prawna lekarza </t>
  </si>
  <si>
    <t>67</t>
  </si>
  <si>
    <t>Leczenie otyłości</t>
  </si>
  <si>
    <t>68</t>
  </si>
  <si>
    <t>Stany nagłe w ortopedii</t>
  </si>
  <si>
    <t>69</t>
  </si>
  <si>
    <t>Stany nagłe w chirurgii</t>
  </si>
  <si>
    <t>70</t>
  </si>
  <si>
    <t xml:space="preserve">Dietoterapia </t>
  </si>
  <si>
    <t xml:space="preserve">Samoobrona </t>
  </si>
  <si>
    <t>71</t>
  </si>
  <si>
    <t>58</t>
  </si>
  <si>
    <t>59</t>
  </si>
  <si>
    <t>60</t>
  </si>
  <si>
    <r>
      <t xml:space="preserve">Interwencja kryzysowa
 </t>
    </r>
    <r>
      <rPr>
        <sz val="12"/>
        <color theme="1"/>
        <rFont val="Roboto"/>
        <charset val="238"/>
      </rPr>
      <t>(przedmiot realizowany w formie ćwiczeń)</t>
    </r>
  </si>
  <si>
    <r>
      <t xml:space="preserve">Język migowy 
 </t>
    </r>
    <r>
      <rPr>
        <sz val="12"/>
        <color theme="1"/>
        <rFont val="Roboto"/>
        <charset val="238"/>
      </rPr>
      <t>(przedmiot realizowany w formie ćwiczeń)</t>
    </r>
  </si>
  <si>
    <r>
      <t xml:space="preserve">* Zajęcia fakultatywne </t>
    </r>
    <r>
      <rPr>
        <sz val="14"/>
        <color theme="1"/>
        <rFont val="Roboto"/>
        <charset val="238"/>
      </rPr>
      <t>( student wybiera z grupy 9 przedmiotów: 3przedmioty w 7 semestrze oraz 3 przedmioty w 8 semestrze)</t>
    </r>
  </si>
  <si>
    <t>0912-7LEK-D-T</t>
  </si>
  <si>
    <t>0912-7LEK-F-CP</t>
  </si>
  <si>
    <t>0912-7LEK-F-CN</t>
  </si>
  <si>
    <t>0912-7LEK-F-DK</t>
  </si>
  <si>
    <t>0912-7LEK-F-PL</t>
  </si>
  <si>
    <t>0912-7LEK-F-E</t>
  </si>
  <si>
    <t>0912-7LEK-F-SN</t>
  </si>
  <si>
    <r>
      <t xml:space="preserve">* Zajęcia fakultatywne </t>
    </r>
    <r>
      <rPr>
        <sz val="14"/>
        <color theme="1"/>
        <rFont val="Roboto"/>
        <charset val="238"/>
      </rPr>
      <t>(student wybiera z grupy 22 przedmiotów: 2 przedmioty w 9 semestrze oraz 1 przedmiot w 10 semestrze )</t>
    </r>
  </si>
  <si>
    <r>
      <rPr>
        <sz val="16"/>
        <color theme="1"/>
        <rFont val="Roboto"/>
        <charset val="238"/>
      </rPr>
      <t>Wydział:</t>
    </r>
    <r>
      <rPr>
        <b/>
        <sz val="16"/>
        <color theme="1"/>
        <rFont val="Roboto"/>
        <charset val="238"/>
      </rPr>
      <t xml:space="preserve"> Collegium Medicum</t>
    </r>
  </si>
  <si>
    <r>
      <t>Instytut:</t>
    </r>
    <r>
      <rPr>
        <b/>
        <sz val="16"/>
        <color theme="1"/>
        <rFont val="Roboto"/>
        <charset val="238"/>
      </rPr>
      <t xml:space="preserve"> Nauk Medycznych</t>
    </r>
  </si>
  <si>
    <r>
      <rPr>
        <sz val="18"/>
        <color theme="1"/>
        <rFont val="Roboto"/>
        <charset val="238"/>
      </rPr>
      <t>KIERUNEK:</t>
    </r>
    <r>
      <rPr>
        <b/>
        <sz val="18"/>
        <color theme="1"/>
        <rFont val="Roboto"/>
        <charset val="238"/>
      </rPr>
      <t xml:space="preserve"> LEKARSKI</t>
    </r>
  </si>
  <si>
    <t>0912-7LEK-D-PŻ</t>
  </si>
  <si>
    <t>0912-7LEK-D-SzCh</t>
  </si>
  <si>
    <t>0912-7LEK-D-OR</t>
  </si>
  <si>
    <t>0912-7LEK-D-ŻOCHM</t>
  </si>
  <si>
    <t xml:space="preserve">0912-7LEK-D-S </t>
  </si>
  <si>
    <r>
      <t xml:space="preserve">* Zajęcia fakultatywne </t>
    </r>
    <r>
      <rPr>
        <sz val="14"/>
        <color theme="1"/>
        <rFont val="Roboto"/>
        <charset val="238"/>
      </rPr>
      <t>(student wybiera : 1 przedmiot w 11 semestrze i 1 przedmiot w 12 semestrze )</t>
    </r>
  </si>
  <si>
    <t>0912-7LEK-OPL</t>
  </si>
  <si>
    <t>0912-7LEK-D-LO</t>
  </si>
  <si>
    <t>0912-7LEK-SNO</t>
  </si>
  <si>
    <t>0912-7LEK-SNCh</t>
  </si>
  <si>
    <t>0912-7LEK-D</t>
  </si>
  <si>
    <t>Do wyboru: - Patofizjologia nerek lub Patofizjologia trzustki lub Molekularne podstawy chorób trzustki</t>
  </si>
  <si>
    <t>Do wyboru: Biologia molekularna w medycynie  lub Elektorfizjologia w kardiologii  lub Patofizjologia układu endokrynnego lub Aktywne składniki materii żywej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</si>
</sst>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08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9"/>
      <name val="Roboto"/>
      <charset val="238"/>
    </font>
    <font>
      <sz val="12"/>
      <color indexed="8"/>
      <name val="Roboto"/>
      <charset val="238"/>
    </font>
    <font>
      <b/>
      <i/>
      <sz val="11"/>
      <name val="Roboto"/>
      <charset val="238"/>
    </font>
    <font>
      <b/>
      <sz val="18"/>
      <name val="Roboto"/>
      <charset val="238"/>
    </font>
    <font>
      <sz val="12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sz val="11"/>
      <color theme="1" tint="0.49998474074526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color rgb="FFFF0000"/>
      <name val="Roboto"/>
      <charset val="238"/>
    </font>
    <font>
      <sz val="16"/>
      <color rgb="FFFF0000"/>
      <name val="Roboto"/>
      <charset val="238"/>
    </font>
    <font>
      <b/>
      <sz val="14"/>
      <name val="Calibri"/>
      <family val="2"/>
      <charset val="238"/>
    </font>
    <font>
      <sz val="14"/>
      <name val="Cambria"/>
      <family val="1"/>
      <charset val="238"/>
      <scheme val="maj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indexed="8"/>
      <name val="Roboto"/>
      <charset val="238"/>
    </font>
    <font>
      <b/>
      <sz val="11"/>
      <name val="Roboto"/>
      <charset val="238"/>
    </font>
    <font>
      <b/>
      <sz val="10"/>
      <name val="Roboto"/>
      <charset val="238"/>
    </font>
    <font>
      <sz val="16"/>
      <name val="Roboto"/>
      <charset val="238"/>
    </font>
    <font>
      <b/>
      <sz val="16"/>
      <name val="Roboto"/>
      <charset val="238"/>
    </font>
    <font>
      <sz val="14"/>
      <name val="Roboto"/>
      <charset val="238"/>
    </font>
    <font>
      <b/>
      <sz val="11"/>
      <name val="Calibri"/>
      <family val="2"/>
      <charset val="238"/>
    </font>
    <font>
      <b/>
      <sz val="9"/>
      <name val="Roboto"/>
      <charset val="238"/>
    </font>
    <font>
      <b/>
      <sz val="9"/>
      <color indexed="8"/>
      <name val="Roboto"/>
      <charset val="238"/>
    </font>
    <font>
      <b/>
      <sz val="20"/>
      <name val="Roboto"/>
      <charset val="238"/>
    </font>
    <font>
      <sz val="20"/>
      <name val="Roboto"/>
      <charset val="238"/>
    </font>
    <font>
      <b/>
      <sz val="24"/>
      <name val="Roboto"/>
      <charset val="238"/>
    </font>
    <font>
      <sz val="18"/>
      <name val="Roboto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i/>
      <sz val="12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i/>
      <sz val="10"/>
      <name val="Roboto"/>
      <charset val="238"/>
    </font>
    <font>
      <sz val="10"/>
      <name val="Calibri"/>
      <family val="2"/>
      <charset val="238"/>
      <scheme val="minor"/>
    </font>
    <font>
      <sz val="11"/>
      <color theme="1"/>
      <name val="Roboto"/>
      <charset val="238"/>
    </font>
    <font>
      <b/>
      <i/>
      <sz val="12"/>
      <color theme="1"/>
      <name val="Roboto"/>
      <charset val="238"/>
    </font>
    <font>
      <b/>
      <sz val="12"/>
      <color theme="1"/>
      <name val="Roboto"/>
      <charset val="238"/>
    </font>
    <font>
      <sz val="12"/>
      <color theme="1"/>
      <name val="Roboto"/>
      <charset val="238"/>
    </font>
    <font>
      <b/>
      <sz val="14"/>
      <color theme="1"/>
      <name val="Roboto"/>
      <charset val="238"/>
    </font>
    <font>
      <sz val="14"/>
      <color theme="1"/>
      <name val="Roboto"/>
      <charset val="238"/>
    </font>
    <font>
      <b/>
      <sz val="11"/>
      <color theme="1"/>
      <name val="Roboto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Roboto"/>
      <charset val="238"/>
    </font>
    <font>
      <b/>
      <sz val="16"/>
      <color theme="1"/>
      <name val="Roboto"/>
      <charset val="238"/>
    </font>
    <font>
      <sz val="16"/>
      <color theme="1"/>
      <name val="Roboto"/>
      <charset val="238"/>
    </font>
    <font>
      <b/>
      <sz val="24"/>
      <color theme="1"/>
      <name val="Roboto"/>
      <charset val="238"/>
    </font>
    <font>
      <b/>
      <sz val="18"/>
      <color theme="1"/>
      <name val="Roboto"/>
      <charset val="238"/>
    </font>
    <font>
      <sz val="18"/>
      <color theme="1"/>
      <name val="Roboto"/>
      <charset val="238"/>
    </font>
    <font>
      <sz val="10"/>
      <color theme="1"/>
      <name val="Roboto"/>
      <charset val="238"/>
    </font>
    <font>
      <b/>
      <sz val="9"/>
      <color theme="1"/>
      <name val="Roboto"/>
      <charset val="238"/>
    </font>
    <font>
      <b/>
      <i/>
      <sz val="11"/>
      <color theme="1"/>
      <name val="Roboto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5" fillId="0" borderId="0"/>
    <xf numFmtId="0" fontId="10" fillId="0" borderId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</cellStyleXfs>
  <cellXfs count="83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14" fontId="8" fillId="0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21" fillId="6" borderId="1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vertical="center"/>
    </xf>
    <xf numFmtId="0" fontId="24" fillId="5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8" xfId="3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top" wrapText="1"/>
    </xf>
    <xf numFmtId="164" fontId="18" fillId="0" borderId="0" xfId="0" applyNumberFormat="1" applyFont="1" applyAlignment="1">
      <alignment horizontal="center"/>
    </xf>
    <xf numFmtId="0" fontId="19" fillId="0" borderId="0" xfId="0" applyFont="1"/>
    <xf numFmtId="0" fontId="27" fillId="0" borderId="0" xfId="0" applyFont="1"/>
    <xf numFmtId="0" fontId="20" fillId="0" borderId="0" xfId="0" applyFont="1"/>
    <xf numFmtId="0" fontId="18" fillId="2" borderId="0" xfId="0" applyFont="1" applyFill="1"/>
    <xf numFmtId="0" fontId="20" fillId="0" borderId="0" xfId="0" applyFont="1" applyFill="1" applyBorder="1"/>
    <xf numFmtId="164" fontId="21" fillId="0" borderId="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0" fontId="21" fillId="0" borderId="0" xfId="0" applyFont="1"/>
    <xf numFmtId="164" fontId="30" fillId="0" borderId="0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8" fillId="0" borderId="15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64" fontId="19" fillId="0" borderId="0" xfId="0" applyNumberFormat="1" applyFont="1" applyAlignment="1"/>
    <xf numFmtId="0" fontId="20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5" fillId="0" borderId="1" xfId="3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164" fontId="42" fillId="0" borderId="1" xfId="0" applyNumberFormat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49" fontId="4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43" fillId="0" borderId="0" xfId="0" applyFont="1"/>
    <xf numFmtId="16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vertical="center"/>
    </xf>
    <xf numFmtId="0" fontId="46" fillId="0" borderId="1" xfId="3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5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4" fillId="0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7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textRotation="90" wrapText="1"/>
    </xf>
    <xf numFmtId="0" fontId="48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right" vertical="center" textRotation="90"/>
    </xf>
    <xf numFmtId="0" fontId="25" fillId="0" borderId="5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 textRotation="90"/>
    </xf>
    <xf numFmtId="0" fontId="11" fillId="0" borderId="0" xfId="0" applyFont="1" applyFill="1" applyBorder="1" applyAlignment="1">
      <alignment horizontal="right" vertical="center" textRotation="90"/>
    </xf>
    <xf numFmtId="0" fontId="11" fillId="0" borderId="1" xfId="0" applyFont="1" applyBorder="1" applyAlignment="1">
      <alignment vertical="center" textRotation="90"/>
    </xf>
    <xf numFmtId="0" fontId="7" fillId="10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2" fillId="0" borderId="0" xfId="0" applyNumberFormat="1" applyFont="1" applyFill="1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/>
    <xf numFmtId="0" fontId="3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2" fillId="10" borderId="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51" fillId="0" borderId="4" xfId="0" applyNumberFormat="1" applyFont="1" applyFill="1" applyBorder="1" applyAlignment="1">
      <alignment horizontal="left" vertical="center" wrapText="1"/>
    </xf>
    <xf numFmtId="49" fontId="52" fillId="0" borderId="4" xfId="0" applyNumberFormat="1" applyFont="1" applyFill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textRotation="90"/>
    </xf>
    <xf numFmtId="0" fontId="25" fillId="0" borderId="0" xfId="0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left" vertical="center" wrapText="1"/>
    </xf>
    <xf numFmtId="0" fontId="51" fillId="0" borderId="1" xfId="3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/>
    </xf>
    <xf numFmtId="164" fontId="7" fillId="12" borderId="5" xfId="0" applyNumberFormat="1" applyFont="1" applyFill="1" applyBorder="1" applyAlignment="1">
      <alignment horizontal="left" vertical="center" wrapText="1"/>
    </xf>
    <xf numFmtId="164" fontId="7" fillId="12" borderId="6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7" fillId="12" borderId="29" xfId="0" applyNumberFormat="1" applyFont="1" applyFill="1" applyBorder="1" applyAlignment="1">
      <alignment horizontal="left" vertical="center" wrapText="1"/>
    </xf>
    <xf numFmtId="164" fontId="7" fillId="12" borderId="14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8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 wrapText="1"/>
    </xf>
    <xf numFmtId="0" fontId="54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5" fillId="0" borderId="0" xfId="0" applyFont="1"/>
    <xf numFmtId="0" fontId="22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vertical="center" wrapText="1"/>
    </xf>
    <xf numFmtId="0" fontId="44" fillId="0" borderId="21" xfId="0" applyFont="1" applyFill="1" applyBorder="1" applyAlignment="1">
      <alignment vertical="center" wrapText="1"/>
    </xf>
    <xf numFmtId="0" fontId="44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2" fontId="8" fillId="0" borderId="15" xfId="0" applyNumberFormat="1" applyFont="1" applyFill="1" applyBorder="1" applyAlignment="1">
      <alignment horizontal="center" vertical="center"/>
    </xf>
    <xf numFmtId="49" fontId="7" fillId="0" borderId="3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4" fillId="0" borderId="6" xfId="0" applyFont="1" applyFill="1" applyBorder="1" applyAlignment="1">
      <alignment vertical="center" wrapText="1"/>
    </xf>
    <xf numFmtId="0" fontId="49" fillId="0" borderId="21" xfId="0" applyFont="1" applyFill="1" applyBorder="1" applyAlignment="1">
      <alignment vertical="center" wrapText="1"/>
    </xf>
    <xf numFmtId="49" fontId="56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6" fillId="0" borderId="3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4" fillId="14" borderId="0" xfId="0" applyFont="1" applyFill="1" applyBorder="1" applyAlignment="1">
      <alignment vertical="center"/>
    </xf>
    <xf numFmtId="0" fontId="32" fillId="14" borderId="0" xfId="0" applyFont="1" applyFill="1" applyBorder="1" applyAlignment="1">
      <alignment horizontal="center" vertical="center"/>
    </xf>
    <xf numFmtId="0" fontId="22" fillId="14" borderId="3" xfId="0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29" fillId="14" borderId="3" xfId="0" applyFont="1" applyFill="1" applyBorder="1" applyAlignment="1">
      <alignment horizontal="center" vertical="center" wrapText="1"/>
    </xf>
    <xf numFmtId="0" fontId="29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7" fillId="14" borderId="29" xfId="0" applyNumberFormat="1" applyFont="1" applyFill="1" applyBorder="1" applyAlignment="1">
      <alignment horizontal="left" vertical="center" wrapText="1"/>
    </xf>
    <xf numFmtId="0" fontId="53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8" fillId="0" borderId="0" xfId="0" applyFont="1"/>
    <xf numFmtId="0" fontId="58" fillId="0" borderId="1" xfId="0" applyFont="1" applyBorder="1"/>
    <xf numFmtId="0" fontId="0" fillId="0" borderId="0" xfId="0" applyAlignment="1">
      <alignment horizontal="left" vertical="center"/>
    </xf>
    <xf numFmtId="165" fontId="8" fillId="0" borderId="1" xfId="5" applyNumberFormat="1" applyFont="1" applyFill="1" applyBorder="1" applyAlignment="1">
      <alignment vertical="center" wrapText="1"/>
    </xf>
    <xf numFmtId="1" fontId="29" fillId="0" borderId="3" xfId="0" applyNumberFormat="1" applyFont="1" applyFill="1" applyBorder="1" applyAlignment="1">
      <alignment horizontal="center" vertical="center" wrapText="1"/>
    </xf>
    <xf numFmtId="1" fontId="29" fillId="0" borderId="14" xfId="0" applyNumberFormat="1" applyFont="1" applyFill="1" applyBorder="1" applyAlignment="1">
      <alignment horizontal="center" vertical="center" wrapText="1"/>
    </xf>
    <xf numFmtId="0" fontId="59" fillId="0" borderId="0" xfId="0" applyFont="1"/>
    <xf numFmtId="1" fontId="8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49" fillId="0" borderId="29" xfId="0" applyFont="1" applyFill="1" applyBorder="1" applyAlignment="1">
      <alignment vertical="center" wrapText="1"/>
    </xf>
    <xf numFmtId="164" fontId="8" fillId="0" borderId="21" xfId="0" applyNumberFormat="1" applyFont="1" applyFill="1" applyBorder="1" applyAlignment="1">
      <alignment horizontal="center" vertical="center"/>
    </xf>
    <xf numFmtId="0" fontId="55" fillId="0" borderId="1" xfId="0" applyFont="1" applyBorder="1"/>
    <xf numFmtId="0" fontId="57" fillId="0" borderId="5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vertical="center"/>
    </xf>
    <xf numFmtId="0" fontId="49" fillId="0" borderId="15" xfId="0" applyFont="1" applyFill="1" applyBorder="1" applyAlignment="1">
      <alignment vertical="center"/>
    </xf>
    <xf numFmtId="14" fontId="8" fillId="0" borderId="3" xfId="0" applyNumberFormat="1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49" fillId="14" borderId="1" xfId="0" applyFont="1" applyFill="1" applyBorder="1" applyAlignment="1">
      <alignment vertical="center" wrapText="1"/>
    </xf>
    <xf numFmtId="0" fontId="60" fillId="14" borderId="1" xfId="0" applyFont="1" applyFill="1" applyBorder="1" applyAlignment="1">
      <alignment vertical="center" wrapText="1"/>
    </xf>
    <xf numFmtId="0" fontId="58" fillId="14" borderId="1" xfId="0" applyFont="1" applyFill="1" applyBorder="1"/>
    <xf numFmtId="0" fontId="49" fillId="14" borderId="4" xfId="0" applyFont="1" applyFill="1" applyBorder="1" applyAlignment="1">
      <alignment vertical="center" wrapText="1"/>
    </xf>
    <xf numFmtId="0" fontId="57" fillId="14" borderId="1" xfId="0" applyFont="1" applyFill="1" applyBorder="1" applyAlignment="1">
      <alignment vertical="center" wrapText="1"/>
    </xf>
    <xf numFmtId="2" fontId="8" fillId="0" borderId="3" xfId="0" applyNumberFormat="1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9" fillId="0" borderId="0" xfId="0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1" fillId="0" borderId="0" xfId="0" applyFont="1"/>
    <xf numFmtId="0" fontId="61" fillId="0" borderId="1" xfId="0" applyFont="1" applyBorder="1"/>
    <xf numFmtId="0" fontId="61" fillId="0" borderId="0" xfId="0" applyFont="1" applyBorder="1"/>
    <xf numFmtId="0" fontId="0" fillId="0" borderId="0" xfId="0" applyBorder="1"/>
    <xf numFmtId="0" fontId="6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11" fillId="0" borderId="1" xfId="0" applyFont="1" applyBorder="1" applyAlignment="1">
      <alignment horizontal="right" vertical="center" textRotation="90"/>
    </xf>
    <xf numFmtId="49" fontId="0" fillId="0" borderId="3" xfId="0" applyNumberFormat="1" applyBorder="1" applyAlignment="1">
      <alignment vertical="center"/>
    </xf>
    <xf numFmtId="0" fontId="11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3" fillId="0" borderId="0" xfId="0" applyFont="1" applyFill="1"/>
    <xf numFmtId="0" fontId="16" fillId="0" borderId="0" xfId="0" applyFont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25" fillId="2" borderId="1" xfId="3" applyFont="1" applyFill="1" applyBorder="1" applyAlignment="1">
      <alignment vertical="center" wrapText="1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horizontal="left"/>
    </xf>
    <xf numFmtId="0" fontId="68" fillId="0" borderId="0" xfId="0" applyFont="1"/>
    <xf numFmtId="0" fontId="68" fillId="2" borderId="0" xfId="0" applyFont="1" applyFill="1"/>
    <xf numFmtId="0" fontId="11" fillId="0" borderId="3" xfId="0" applyFont="1" applyBorder="1" applyAlignment="1">
      <alignment horizontal="center" vertical="center" textRotation="90"/>
    </xf>
    <xf numFmtId="0" fontId="31" fillId="9" borderId="2" xfId="0" applyFont="1" applyFill="1" applyBorder="1" applyAlignment="1">
      <alignment horizontal="center" vertical="center" textRotation="90" wrapText="1"/>
    </xf>
    <xf numFmtId="0" fontId="31" fillId="8" borderId="2" xfId="0" applyFont="1" applyFill="1" applyBorder="1" applyAlignment="1">
      <alignment horizontal="center" vertical="center" textRotation="90" wrapText="1"/>
    </xf>
    <xf numFmtId="0" fontId="70" fillId="6" borderId="11" xfId="0" applyFont="1" applyFill="1" applyBorder="1" applyAlignment="1">
      <alignment vertical="center"/>
    </xf>
    <xf numFmtId="0" fontId="70" fillId="6" borderId="12" xfId="0" applyFont="1" applyFill="1" applyBorder="1" applyAlignment="1">
      <alignment vertical="center"/>
    </xf>
    <xf numFmtId="0" fontId="70" fillId="6" borderId="12" xfId="0" applyFont="1" applyFill="1" applyBorder="1" applyAlignment="1">
      <alignment horizontal="left" vertical="center"/>
    </xf>
    <xf numFmtId="164" fontId="42" fillId="0" borderId="1" xfId="0" applyNumberFormat="1" applyFont="1" applyFill="1" applyBorder="1" applyAlignment="1">
      <alignment horizontal="center" vertical="center" wrapText="1"/>
    </xf>
    <xf numFmtId="14" fontId="42" fillId="0" borderId="1" xfId="0" applyNumberFormat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5" fillId="9" borderId="1" xfId="0" applyNumberFormat="1" applyFont="1" applyFill="1" applyBorder="1" applyAlignment="1">
      <alignment horizontal="center" vertical="center" wrapText="1"/>
    </xf>
    <xf numFmtId="0" fontId="70" fillId="5" borderId="1" xfId="0" applyFont="1" applyFill="1" applyBorder="1" applyAlignment="1">
      <alignment horizontal="center" vertical="center" wrapText="1"/>
    </xf>
    <xf numFmtId="0" fontId="70" fillId="6" borderId="5" xfId="0" applyFont="1" applyFill="1" applyBorder="1" applyAlignment="1">
      <alignment vertical="center"/>
    </xf>
    <xf numFmtId="0" fontId="70" fillId="6" borderId="6" xfId="0" applyFont="1" applyFill="1" applyBorder="1" applyAlignment="1">
      <alignment vertical="center"/>
    </xf>
    <xf numFmtId="0" fontId="70" fillId="6" borderId="6" xfId="0" applyFont="1" applyFill="1" applyBorder="1" applyAlignment="1">
      <alignment horizontal="left" vertical="center"/>
    </xf>
    <xf numFmtId="0" fontId="25" fillId="6" borderId="6" xfId="0" applyFont="1" applyFill="1" applyBorder="1" applyAlignment="1">
      <alignment vertical="center"/>
    </xf>
    <xf numFmtId="164" fontId="42" fillId="0" borderId="4" xfId="0" applyNumberFormat="1" applyFont="1" applyFill="1" applyBorder="1" applyAlignment="1">
      <alignment horizontal="center" vertical="center" wrapText="1"/>
    </xf>
    <xf numFmtId="14" fontId="49" fillId="0" borderId="1" xfId="0" applyNumberFormat="1" applyFont="1" applyFill="1" applyBorder="1" applyAlignment="1">
      <alignment horizontal="left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16" fontId="42" fillId="0" borderId="1" xfId="0" applyNumberFormat="1" applyFont="1" applyFill="1" applyBorder="1" applyAlignment="1">
      <alignment horizontal="center" vertical="center" wrapText="1"/>
    </xf>
    <xf numFmtId="1" fontId="42" fillId="0" borderId="1" xfId="0" applyNumberFormat="1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vertical="center" wrapText="1"/>
    </xf>
    <xf numFmtId="0" fontId="70" fillId="3" borderId="3" xfId="0" applyFont="1" applyFill="1" applyBorder="1" applyAlignment="1">
      <alignment horizontal="center" vertical="center"/>
    </xf>
    <xf numFmtId="0" fontId="70" fillId="3" borderId="17" xfId="0" applyFont="1" applyFill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/>
    <xf numFmtId="0" fontId="72" fillId="0" borderId="0" xfId="0" applyFont="1" applyAlignment="1">
      <alignment horizontal="left" vertical="top"/>
    </xf>
    <xf numFmtId="0" fontId="72" fillId="0" borderId="0" xfId="0" applyFont="1" applyAlignment="1"/>
    <xf numFmtId="0" fontId="42" fillId="0" borderId="0" xfId="0" applyFont="1"/>
    <xf numFmtId="0" fontId="36" fillId="0" borderId="0" xfId="0" applyFont="1" applyAlignment="1">
      <alignment vertical="center"/>
    </xf>
    <xf numFmtId="0" fontId="70" fillId="0" borderId="0" xfId="0" applyFont="1"/>
    <xf numFmtId="0" fontId="73" fillId="0" borderId="0" xfId="0" applyFont="1" applyAlignment="1">
      <alignment vertical="top" wrapText="1"/>
    </xf>
    <xf numFmtId="0" fontId="35" fillId="0" borderId="1" xfId="0" applyFont="1" applyBorder="1" applyAlignment="1">
      <alignment horizontal="center" vertical="center"/>
    </xf>
    <xf numFmtId="164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0" fontId="73" fillId="0" borderId="0" xfId="0" applyFont="1"/>
    <xf numFmtId="0" fontId="72" fillId="0" borderId="0" xfId="0" applyFont="1" applyAlignment="1">
      <alignment horizontal="left"/>
    </xf>
    <xf numFmtId="0" fontId="42" fillId="0" borderId="0" xfId="0" applyFont="1" applyAlignment="1"/>
    <xf numFmtId="0" fontId="36" fillId="0" borderId="0" xfId="0" applyFont="1"/>
    <xf numFmtId="0" fontId="74" fillId="0" borderId="0" xfId="0" applyFont="1" applyAlignment="1">
      <alignment horizontal="left"/>
    </xf>
    <xf numFmtId="0" fontId="74" fillId="0" borderId="0" xfId="0" applyFont="1"/>
    <xf numFmtId="0" fontId="72" fillId="0" borderId="0" xfId="0" applyFont="1"/>
    <xf numFmtId="0" fontId="72" fillId="0" borderId="0" xfId="0" applyFont="1" applyFill="1" applyBorder="1" applyAlignment="1">
      <alignment horizontal="left" vertical="center"/>
    </xf>
    <xf numFmtId="0" fontId="74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wrapText="1"/>
    </xf>
    <xf numFmtId="49" fontId="42" fillId="0" borderId="0" xfId="0" applyNumberFormat="1" applyFont="1" applyAlignment="1">
      <alignment horizontal="center"/>
    </xf>
    <xf numFmtId="0" fontId="42" fillId="0" borderId="20" xfId="0" applyFont="1" applyBorder="1" applyAlignment="1"/>
    <xf numFmtId="164" fontId="73" fillId="0" borderId="0" xfId="0" applyNumberFormat="1" applyFont="1" applyAlignment="1"/>
    <xf numFmtId="0" fontId="25" fillId="6" borderId="20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 textRotation="90" wrapText="1"/>
    </xf>
    <xf numFmtId="0" fontId="30" fillId="8" borderId="1" xfId="0" applyFont="1" applyFill="1" applyBorder="1" applyAlignment="1">
      <alignment horizontal="center" vertical="center" textRotation="90" wrapText="1"/>
    </xf>
    <xf numFmtId="0" fontId="70" fillId="6" borderId="20" xfId="0" applyFont="1" applyFill="1" applyBorder="1" applyAlignment="1">
      <alignment vertical="center"/>
    </xf>
    <xf numFmtId="0" fontId="70" fillId="6" borderId="20" xfId="0" applyFont="1" applyFill="1" applyBorder="1" applyAlignment="1">
      <alignment horizontal="left" vertical="center"/>
    </xf>
    <xf numFmtId="0" fontId="25" fillId="6" borderId="22" xfId="0" applyFont="1" applyFill="1" applyBorder="1" applyAlignment="1">
      <alignment vertical="center"/>
    </xf>
    <xf numFmtId="49" fontId="42" fillId="0" borderId="4" xfId="0" applyNumberFormat="1" applyFont="1" applyFill="1" applyBorder="1" applyAlignment="1">
      <alignment horizontal="center" vertical="center" wrapText="1"/>
    </xf>
    <xf numFmtId="0" fontId="23" fillId="0" borderId="1" xfId="1" applyFont="1" applyFill="1" applyBorder="1"/>
    <xf numFmtId="0" fontId="42" fillId="6" borderId="6" xfId="0" applyFont="1" applyFill="1" applyBorder="1" applyAlignment="1">
      <alignment vertical="center"/>
    </xf>
    <xf numFmtId="0" fontId="25" fillId="6" borderId="8" xfId="0" applyFont="1" applyFill="1" applyBorder="1" applyAlignment="1">
      <alignment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70" fillId="5" borderId="4" xfId="0" applyFont="1" applyFill="1" applyBorder="1" applyAlignment="1">
      <alignment vertical="center"/>
    </xf>
    <xf numFmtId="0" fontId="70" fillId="5" borderId="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14" fontId="42" fillId="0" borderId="1" xfId="0" applyNumberFormat="1" applyFont="1" applyFill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9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vertical="center"/>
    </xf>
    <xf numFmtId="0" fontId="25" fillId="9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53" fillId="0" borderId="0" xfId="0" applyNumberFormat="1" applyFont="1" applyAlignment="1">
      <alignment horizontal="center"/>
    </xf>
    <xf numFmtId="0" fontId="82" fillId="0" borderId="0" xfId="0" applyFont="1"/>
    <xf numFmtId="0" fontId="53" fillId="0" borderId="0" xfId="0" applyFont="1" applyAlignment="1">
      <alignment horizontal="center"/>
    </xf>
    <xf numFmtId="0" fontId="53" fillId="0" borderId="0" xfId="0" applyFont="1"/>
    <xf numFmtId="49" fontId="42" fillId="0" borderId="0" xfId="0" applyNumberFormat="1" applyFont="1" applyFill="1" applyBorder="1" applyAlignment="1">
      <alignment horizontal="center" vertical="center"/>
    </xf>
    <xf numFmtId="0" fontId="53" fillId="0" borderId="1" xfId="0" applyFont="1" applyBorder="1"/>
    <xf numFmtId="2" fontId="42" fillId="0" borderId="1" xfId="0" applyNumberFormat="1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center"/>
    </xf>
    <xf numFmtId="0" fontId="75" fillId="0" borderId="0" xfId="0" applyFont="1"/>
    <xf numFmtId="0" fontId="83" fillId="0" borderId="0" xfId="0" applyFont="1" applyAlignment="1"/>
    <xf numFmtId="0" fontId="83" fillId="0" borderId="0" xfId="0" applyFont="1"/>
    <xf numFmtId="0" fontId="84" fillId="0" borderId="0" xfId="0" applyFont="1" applyAlignment="1">
      <alignment horizontal="left" vertical="top"/>
    </xf>
    <xf numFmtId="0" fontId="84" fillId="0" borderId="0" xfId="0" applyFont="1" applyAlignment="1"/>
    <xf numFmtId="0" fontId="82" fillId="0" borderId="0" xfId="0" applyFont="1" applyAlignment="1">
      <alignment vertical="top" wrapText="1"/>
    </xf>
    <xf numFmtId="0" fontId="82" fillId="0" borderId="0" xfId="0" applyFont="1" applyAlignment="1">
      <alignment horizontal="left" vertical="top" wrapText="1"/>
    </xf>
    <xf numFmtId="0" fontId="25" fillId="9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84" fillId="0" borderId="0" xfId="0" applyFont="1" applyAlignment="1">
      <alignment horizontal="center"/>
    </xf>
    <xf numFmtId="0" fontId="53" fillId="0" borderId="0" xfId="0" applyFont="1" applyAlignment="1"/>
    <xf numFmtId="0" fontId="85" fillId="0" borderId="0" xfId="0" applyFont="1"/>
    <xf numFmtId="0" fontId="75" fillId="0" borderId="0" xfId="0" applyFont="1" applyAlignment="1"/>
    <xf numFmtId="0" fontId="53" fillId="2" borderId="0" xfId="0" applyFont="1" applyFill="1"/>
    <xf numFmtId="0" fontId="53" fillId="2" borderId="0" xfId="0" applyFont="1" applyFill="1" applyAlignment="1">
      <alignment horizontal="center"/>
    </xf>
    <xf numFmtId="0" fontId="84" fillId="0" borderId="0" xfId="0" applyFont="1"/>
    <xf numFmtId="0" fontId="30" fillId="9" borderId="3" xfId="0" applyFont="1" applyFill="1" applyBorder="1" applyAlignment="1">
      <alignment horizontal="center" vertical="center" textRotation="90" wrapText="1"/>
    </xf>
    <xf numFmtId="0" fontId="30" fillId="8" borderId="3" xfId="0" applyFont="1" applyFill="1" applyBorder="1" applyAlignment="1">
      <alignment horizontal="center" vertical="center" textRotation="90" wrapText="1"/>
    </xf>
    <xf numFmtId="2" fontId="51" fillId="0" borderId="1" xfId="0" applyNumberFormat="1" applyFont="1" applyFill="1" applyBorder="1" applyAlignment="1">
      <alignment horizontal="center" vertical="center"/>
    </xf>
    <xf numFmtId="0" fontId="42" fillId="5" borderId="1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/>
    </xf>
    <xf numFmtId="49" fontId="30" fillId="0" borderId="20" xfId="0" applyNumberFormat="1" applyFont="1" applyBorder="1" applyAlignment="1"/>
    <xf numFmtId="0" fontId="70" fillId="10" borderId="5" xfId="0" applyFont="1" applyFill="1" applyBorder="1" applyAlignment="1">
      <alignment vertical="center"/>
    </xf>
    <xf numFmtId="0" fontId="70" fillId="10" borderId="6" xfId="0" applyFont="1" applyFill="1" applyBorder="1" applyAlignment="1">
      <alignment vertical="center"/>
    </xf>
    <xf numFmtId="0" fontId="70" fillId="10" borderId="8" xfId="0" applyFont="1" applyFill="1" applyBorder="1" applyAlignment="1">
      <alignment vertical="center"/>
    </xf>
    <xf numFmtId="164" fontId="51" fillId="0" borderId="4" xfId="0" applyNumberFormat="1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top"/>
    </xf>
    <xf numFmtId="0" fontId="52" fillId="10" borderId="5" xfId="0" applyFont="1" applyFill="1" applyBorder="1" applyAlignment="1">
      <alignment vertical="center"/>
    </xf>
    <xf numFmtId="0" fontId="52" fillId="10" borderId="6" xfId="0" applyFont="1" applyFill="1" applyBorder="1" applyAlignment="1">
      <alignment vertical="center"/>
    </xf>
    <xf numFmtId="0" fontId="52" fillId="10" borderId="6" xfId="0" applyFont="1" applyFill="1" applyBorder="1" applyAlignment="1">
      <alignment horizontal="left" vertical="center"/>
    </xf>
    <xf numFmtId="49" fontId="52" fillId="10" borderId="6" xfId="0" applyNumberFormat="1" applyFont="1" applyFill="1" applyBorder="1" applyAlignment="1">
      <alignment vertical="center"/>
    </xf>
    <xf numFmtId="0" fontId="53" fillId="10" borderId="6" xfId="0" applyFont="1" applyFill="1" applyBorder="1" applyAlignment="1">
      <alignment horizontal="center" vertical="center"/>
    </xf>
    <xf numFmtId="0" fontId="71" fillId="10" borderId="6" xfId="0" applyFont="1" applyFill="1" applyBorder="1" applyAlignment="1">
      <alignment horizontal="center" vertical="center" wrapText="1"/>
    </xf>
    <xf numFmtId="0" fontId="71" fillId="10" borderId="8" xfId="0" applyFont="1" applyFill="1" applyBorder="1" applyAlignment="1">
      <alignment horizontal="center" vertical="center" wrapText="1"/>
    </xf>
    <xf numFmtId="164" fontId="51" fillId="0" borderId="4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14" fontId="51" fillId="0" borderId="1" xfId="0" applyNumberFormat="1" applyFont="1" applyFill="1" applyBorder="1" applyAlignment="1">
      <alignment horizontal="left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53" fillId="5" borderId="3" xfId="0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/>
    </xf>
    <xf numFmtId="164" fontId="51" fillId="0" borderId="7" xfId="0" applyNumberFormat="1" applyFont="1" applyFill="1" applyBorder="1" applyAlignment="1">
      <alignment horizontal="center" vertical="center" wrapText="1"/>
    </xf>
    <xf numFmtId="14" fontId="31" fillId="0" borderId="3" xfId="0" applyNumberFormat="1" applyFont="1" applyFill="1" applyBorder="1" applyAlignment="1">
      <alignment horizontal="left" vertical="center" wrapText="1"/>
    </xf>
    <xf numFmtId="49" fontId="52" fillId="0" borderId="14" xfId="0" applyNumberFormat="1" applyFont="1" applyFill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83" fillId="0" borderId="1" xfId="0" applyFont="1" applyFill="1" applyBorder="1" applyAlignment="1">
      <alignment vertical="center" wrapText="1"/>
    </xf>
    <xf numFmtId="0" fontId="86" fillId="0" borderId="1" xfId="0" applyFont="1" applyFill="1" applyBorder="1" applyAlignment="1">
      <alignment vertical="center" wrapText="1"/>
    </xf>
    <xf numFmtId="0" fontId="83" fillId="0" borderId="4" xfId="0" applyFont="1" applyFill="1" applyBorder="1" applyAlignment="1">
      <alignment vertical="center" wrapText="1"/>
    </xf>
    <xf numFmtId="0" fontId="52" fillId="5" borderId="1" xfId="0" applyFont="1" applyFill="1" applyBorder="1" applyAlignment="1">
      <alignment horizontal="left" vertical="center" wrapText="1"/>
    </xf>
    <xf numFmtId="49" fontId="52" fillId="5" borderId="1" xfId="0" applyNumberFormat="1" applyFont="1" applyFill="1" applyBorder="1" applyAlignment="1">
      <alignment horizontal="center" vertical="center" wrapText="1"/>
    </xf>
    <xf numFmtId="0" fontId="53" fillId="5" borderId="1" xfId="0" applyFont="1" applyFill="1" applyBorder="1" applyAlignment="1">
      <alignment horizontal="center" vertical="center"/>
    </xf>
    <xf numFmtId="0" fontId="83" fillId="3" borderId="1" xfId="0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49" fontId="53" fillId="0" borderId="0" xfId="0" applyNumberFormat="1" applyFont="1" applyAlignment="1">
      <alignment vertical="center"/>
    </xf>
    <xf numFmtId="0" fontId="53" fillId="0" borderId="0" xfId="0" applyFont="1" applyAlignment="1">
      <alignment horizontal="center" vertical="center"/>
    </xf>
    <xf numFmtId="164" fontId="87" fillId="0" borderId="3" xfId="0" applyNumberFormat="1" applyFont="1" applyFill="1" applyBorder="1" applyAlignment="1">
      <alignment vertical="center"/>
    </xf>
    <xf numFmtId="0" fontId="87" fillId="0" borderId="3" xfId="0" applyFont="1" applyFill="1" applyBorder="1" applyAlignment="1">
      <alignment vertical="center" wrapText="1"/>
    </xf>
    <xf numFmtId="0" fontId="87" fillId="0" borderId="3" xfId="0" applyFont="1" applyFill="1" applyBorder="1" applyAlignment="1">
      <alignment horizontal="center" vertical="center" wrapText="1"/>
    </xf>
    <xf numFmtId="49" fontId="8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/>
    <xf numFmtId="0" fontId="82" fillId="0" borderId="0" xfId="0" applyFont="1" applyAlignment="1"/>
    <xf numFmtId="0" fontId="65" fillId="0" borderId="0" xfId="0" applyFont="1" applyAlignment="1"/>
    <xf numFmtId="0" fontId="85" fillId="0" borderId="0" xfId="0" applyFont="1" applyAlignment="1"/>
    <xf numFmtId="0" fontId="88" fillId="0" borderId="0" xfId="0" applyFont="1"/>
    <xf numFmtId="0" fontId="25" fillId="15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0" fillId="2" borderId="1" xfId="1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70" fillId="2" borderId="1" xfId="1" applyNumberFormat="1" applyFont="1" applyFill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70" fillId="3" borderId="1" xfId="1" applyFont="1" applyFill="1" applyBorder="1" applyAlignment="1">
      <alignment horizontal="center" vertical="center" wrapText="1"/>
    </xf>
    <xf numFmtId="0" fontId="70" fillId="3" borderId="1" xfId="0" applyFont="1" applyFill="1" applyBorder="1" applyAlignment="1">
      <alignment horizontal="center" vertical="center"/>
    </xf>
    <xf numFmtId="0" fontId="42" fillId="2" borderId="1" xfId="1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/>
    </xf>
    <xf numFmtId="0" fontId="89" fillId="2" borderId="1" xfId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 wrapText="1"/>
    </xf>
    <xf numFmtId="0" fontId="90" fillId="2" borderId="1" xfId="3" applyFont="1" applyFill="1" applyBorder="1" applyAlignment="1">
      <alignment horizontal="center" vertical="center" wrapText="1"/>
    </xf>
    <xf numFmtId="0" fontId="52" fillId="2" borderId="1" xfId="3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/>
    </xf>
    <xf numFmtId="0" fontId="70" fillId="2" borderId="1" xfId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5" fillId="2" borderId="0" xfId="3" applyFont="1" applyFill="1" applyBorder="1" applyAlignment="1">
      <alignment vertical="center" wrapText="1"/>
    </xf>
    <xf numFmtId="14" fontId="42" fillId="2" borderId="0" xfId="0" applyNumberFormat="1" applyFont="1" applyFill="1" applyBorder="1" applyAlignment="1">
      <alignment horizontal="left" vertical="center" wrapText="1"/>
    </xf>
    <xf numFmtId="0" fontId="70" fillId="2" borderId="0" xfId="0" applyFont="1" applyFill="1" applyBorder="1" applyAlignment="1">
      <alignment horizontal="center" vertical="center" wrapText="1"/>
    </xf>
    <xf numFmtId="49" fontId="42" fillId="2" borderId="0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7" fillId="0" borderId="0" xfId="0" applyFont="1"/>
    <xf numFmtId="0" fontId="68" fillId="0" borderId="0" xfId="0" applyFont="1" applyAlignment="1">
      <alignment vertical="top"/>
    </xf>
    <xf numFmtId="0" fontId="6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72" fillId="0" borderId="0" xfId="0" applyFont="1" applyAlignment="1">
      <alignment vertical="top" wrapText="1"/>
    </xf>
    <xf numFmtId="0" fontId="51" fillId="0" borderId="0" xfId="0" applyFont="1"/>
    <xf numFmtId="49" fontId="91" fillId="0" borderId="4" xfId="0" applyNumberFormat="1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center" vertical="center" wrapText="1"/>
    </xf>
    <xf numFmtId="0" fontId="93" fillId="8" borderId="1" xfId="0" applyFont="1" applyFill="1" applyBorder="1" applyAlignment="1">
      <alignment horizontal="center" vertical="center" wrapText="1"/>
    </xf>
    <xf numFmtId="0" fontId="25" fillId="0" borderId="8" xfId="3" applyFont="1" applyFill="1" applyBorder="1" applyAlignment="1">
      <alignment vertical="center" wrapText="1"/>
    </xf>
    <xf numFmtId="0" fontId="92" fillId="0" borderId="5" xfId="0" applyFont="1" applyFill="1" applyBorder="1" applyAlignment="1">
      <alignment vertical="center" wrapText="1"/>
    </xf>
    <xf numFmtId="0" fontId="93" fillId="9" borderId="1" xfId="0" applyFont="1" applyFill="1" applyBorder="1" applyAlignment="1">
      <alignment horizontal="center" vertical="center" wrapText="1"/>
    </xf>
    <xf numFmtId="14" fontId="91" fillId="0" borderId="1" xfId="0" applyNumberFormat="1" applyFont="1" applyFill="1" applyBorder="1" applyAlignment="1">
      <alignment horizontal="left" vertical="center" wrapText="1"/>
    </xf>
    <xf numFmtId="0" fontId="91" fillId="0" borderId="1" xfId="0" applyFont="1" applyFill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/>
    </xf>
    <xf numFmtId="14" fontId="42" fillId="0" borderId="1" xfId="0" applyNumberFormat="1" applyFont="1" applyFill="1" applyBorder="1" applyAlignment="1">
      <alignment horizontal="left" vertical="center" wrapText="1"/>
    </xf>
    <xf numFmtId="164" fontId="51" fillId="0" borderId="4" xfId="0" applyNumberFormat="1" applyFont="1" applyFill="1" applyBorder="1" applyAlignment="1">
      <alignment horizontal="center" vertical="center" wrapText="1"/>
    </xf>
    <xf numFmtId="14" fontId="51" fillId="0" borderId="1" xfId="0" applyNumberFormat="1" applyFont="1" applyFill="1" applyBorder="1" applyAlignment="1">
      <alignment horizontal="left" vertical="center" wrapText="1"/>
    </xf>
    <xf numFmtId="0" fontId="70" fillId="6" borderId="6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91" fillId="0" borderId="1" xfId="0" applyNumberFormat="1" applyFont="1" applyFill="1" applyBorder="1" applyAlignment="1">
      <alignment horizontal="center" vertical="center"/>
    </xf>
    <xf numFmtId="0" fontId="93" fillId="2" borderId="8" xfId="3" applyFont="1" applyFill="1" applyBorder="1" applyAlignment="1">
      <alignment vertical="center" wrapText="1"/>
    </xf>
    <xf numFmtId="0" fontId="93" fillId="2" borderId="1" xfId="3" applyFont="1" applyFill="1" applyBorder="1" applyAlignment="1">
      <alignment vertical="center" wrapText="1"/>
    </xf>
    <xf numFmtId="0" fontId="97" fillId="0" borderId="1" xfId="0" applyFont="1" applyFill="1" applyBorder="1" applyAlignment="1">
      <alignment horizontal="center" vertical="center" wrapText="1"/>
    </xf>
    <xf numFmtId="0" fontId="93" fillId="2" borderId="1" xfId="3" applyFont="1" applyFill="1" applyBorder="1" applyAlignment="1">
      <alignment horizontal="left" vertical="center" wrapText="1"/>
    </xf>
    <xf numFmtId="49" fontId="91" fillId="0" borderId="1" xfId="0" applyNumberFormat="1" applyFont="1" applyFill="1" applyBorder="1" applyAlignment="1">
      <alignment horizontal="center" vertical="center" wrapText="1"/>
    </xf>
    <xf numFmtId="0" fontId="101" fillId="0" borderId="0" xfId="0" applyFont="1" applyFill="1" applyBorder="1" applyAlignment="1">
      <alignment horizontal="left" vertical="center"/>
    </xf>
    <xf numFmtId="0" fontId="91" fillId="0" borderId="0" xfId="0" applyFont="1"/>
    <xf numFmtId="0" fontId="96" fillId="0" borderId="0" xfId="0" applyFont="1" applyFill="1" applyBorder="1" applyAlignment="1">
      <alignment vertical="center"/>
    </xf>
    <xf numFmtId="0" fontId="101" fillId="0" borderId="0" xfId="0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horizontal="left" vertical="center" wrapText="1"/>
    </xf>
    <xf numFmtId="164" fontId="100" fillId="0" borderId="0" xfId="0" applyNumberFormat="1" applyFont="1" applyAlignment="1"/>
    <xf numFmtId="0" fontId="105" fillId="9" borderId="3" xfId="0" applyFont="1" applyFill="1" applyBorder="1" applyAlignment="1">
      <alignment horizontal="center" vertical="center" textRotation="90" wrapText="1"/>
    </xf>
    <xf numFmtId="0" fontId="105" fillId="8" borderId="3" xfId="0" applyFont="1" applyFill="1" applyBorder="1" applyAlignment="1">
      <alignment horizontal="center" vertical="center" textRotation="90" wrapText="1"/>
    </xf>
    <xf numFmtId="0" fontId="97" fillId="6" borderId="5" xfId="0" applyFont="1" applyFill="1" applyBorder="1" applyAlignment="1">
      <alignment vertical="center"/>
    </xf>
    <xf numFmtId="0" fontId="97" fillId="6" borderId="20" xfId="0" applyFont="1" applyFill="1" applyBorder="1" applyAlignment="1">
      <alignment vertical="center"/>
    </xf>
    <xf numFmtId="0" fontId="97" fillId="6" borderId="20" xfId="0" applyFont="1" applyFill="1" applyBorder="1" applyAlignment="1">
      <alignment horizontal="left" vertical="center"/>
    </xf>
    <xf numFmtId="0" fontId="93" fillId="6" borderId="20" xfId="0" applyFont="1" applyFill="1" applyBorder="1" applyAlignment="1">
      <alignment vertical="center"/>
    </xf>
    <xf numFmtId="0" fontId="93" fillId="6" borderId="22" xfId="0" applyFont="1" applyFill="1" applyBorder="1" applyAlignment="1">
      <alignment vertical="center"/>
    </xf>
    <xf numFmtId="0" fontId="60" fillId="2" borderId="3" xfId="0" applyFont="1" applyFill="1" applyBorder="1" applyAlignment="1">
      <alignment horizontal="left" vertical="center"/>
    </xf>
    <xf numFmtId="0" fontId="92" fillId="0" borderId="7" xfId="0" applyFont="1" applyFill="1" applyBorder="1" applyAlignment="1">
      <alignment vertical="center" wrapText="1"/>
    </xf>
    <xf numFmtId="14" fontId="91" fillId="0" borderId="3" xfId="0" applyNumberFormat="1" applyFont="1" applyFill="1" applyBorder="1" applyAlignment="1">
      <alignment horizontal="left" vertical="center" wrapText="1"/>
    </xf>
    <xf numFmtId="0" fontId="45" fillId="2" borderId="3" xfId="0" applyFont="1" applyFill="1" applyBorder="1" applyAlignment="1">
      <alignment horizontal="left" vertical="center"/>
    </xf>
    <xf numFmtId="0" fontId="45" fillId="2" borderId="3" xfId="0" applyFont="1" applyFill="1" applyBorder="1" applyAlignment="1">
      <alignment horizontal="center" vertical="center"/>
    </xf>
    <xf numFmtId="0" fontId="45" fillId="11" borderId="3" xfId="0" applyFont="1" applyFill="1" applyBorder="1" applyAlignment="1">
      <alignment horizontal="center" vertical="center"/>
    </xf>
    <xf numFmtId="0" fontId="45" fillId="11" borderId="3" xfId="0" applyFont="1" applyFill="1" applyBorder="1" applyAlignment="1">
      <alignment horizontal="left" vertical="center"/>
    </xf>
    <xf numFmtId="0" fontId="93" fillId="11" borderId="3" xfId="0" applyFont="1" applyFill="1" applyBorder="1" applyAlignment="1">
      <alignment horizontal="center" vertical="center" wrapText="1"/>
    </xf>
    <xf numFmtId="0" fontId="93" fillId="15" borderId="3" xfId="0" applyFont="1" applyFill="1" applyBorder="1" applyAlignment="1">
      <alignment horizontal="center" vertical="center" wrapText="1"/>
    </xf>
    <xf numFmtId="0" fontId="93" fillId="2" borderId="3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left" vertical="center"/>
    </xf>
    <xf numFmtId="0" fontId="93" fillId="5" borderId="1" xfId="0" applyFont="1" applyFill="1" applyBorder="1" applyAlignment="1">
      <alignment horizontal="center" vertical="center" wrapText="1"/>
    </xf>
    <xf numFmtId="0" fontId="93" fillId="5" borderId="5" xfId="0" applyFont="1" applyFill="1" applyBorder="1" applyAlignment="1">
      <alignment horizontal="center" vertical="center" wrapText="1"/>
    </xf>
    <xf numFmtId="0" fontId="97" fillId="6" borderId="21" xfId="0" applyFont="1" applyFill="1" applyBorder="1" applyAlignment="1">
      <alignment vertical="center"/>
    </xf>
    <xf numFmtId="164" fontId="91" fillId="0" borderId="5" xfId="0" applyNumberFormat="1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vertical="center" wrapText="1"/>
    </xf>
    <xf numFmtId="164" fontId="91" fillId="0" borderId="1" xfId="0" applyNumberFormat="1" applyFont="1" applyFill="1" applyBorder="1" applyAlignment="1">
      <alignment horizontal="center" vertical="center"/>
    </xf>
    <xf numFmtId="0" fontId="97" fillId="6" borderId="6" xfId="0" applyFont="1" applyFill="1" applyBorder="1" applyAlignment="1">
      <alignment vertical="center"/>
    </xf>
    <xf numFmtId="0" fontId="97" fillId="6" borderId="6" xfId="0" applyFont="1" applyFill="1" applyBorder="1" applyAlignment="1">
      <alignment horizontal="left" vertical="center"/>
    </xf>
    <xf numFmtId="0" fontId="93" fillId="6" borderId="6" xfId="0" applyFont="1" applyFill="1" applyBorder="1" applyAlignment="1">
      <alignment vertical="center"/>
    </xf>
    <xf numFmtId="0" fontId="93" fillId="6" borderId="8" xfId="0" applyFont="1" applyFill="1" applyBorder="1" applyAlignment="1">
      <alignment vertical="center"/>
    </xf>
    <xf numFmtId="2" fontId="91" fillId="0" borderId="1" xfId="0" applyNumberFormat="1" applyFont="1" applyFill="1" applyBorder="1" applyAlignment="1">
      <alignment horizontal="center" vertical="center"/>
    </xf>
    <xf numFmtId="0" fontId="91" fillId="6" borderId="6" xfId="0" applyFont="1" applyFill="1" applyBorder="1" applyAlignment="1">
      <alignment vertical="center"/>
    </xf>
    <xf numFmtId="0" fontId="92" fillId="0" borderId="8" xfId="0" applyFont="1" applyFill="1" applyBorder="1" applyAlignment="1">
      <alignment vertical="center" wrapText="1"/>
    </xf>
    <xf numFmtId="0" fontId="97" fillId="0" borderId="3" xfId="0" applyFont="1" applyFill="1" applyBorder="1" applyAlignment="1">
      <alignment horizontal="center" vertical="center" wrapText="1"/>
    </xf>
    <xf numFmtId="0" fontId="93" fillId="2" borderId="1" xfId="0" applyFont="1" applyFill="1" applyBorder="1" applyAlignment="1">
      <alignment horizontal="center" vertical="center"/>
    </xf>
    <xf numFmtId="0" fontId="56" fillId="0" borderId="1" xfId="0" applyFont="1" applyBorder="1"/>
    <xf numFmtId="0" fontId="97" fillId="3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3" fillId="0" borderId="5" xfId="0" applyFont="1" applyFill="1" applyBorder="1" applyAlignment="1">
      <alignment vertical="center" wrapText="1"/>
    </xf>
    <xf numFmtId="0" fontId="9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70" fillId="3" borderId="1" xfId="1" applyFont="1" applyFill="1" applyBorder="1" applyAlignment="1">
      <alignment horizontal="center" vertical="center" wrapText="1"/>
    </xf>
    <xf numFmtId="0" fontId="70" fillId="3" borderId="7" xfId="1" applyFont="1" applyFill="1" applyBorder="1" applyAlignment="1">
      <alignment horizontal="center" vertical="center" wrapText="1"/>
    </xf>
    <xf numFmtId="0" fontId="70" fillId="3" borderId="29" xfId="1" applyFont="1" applyFill="1" applyBorder="1" applyAlignment="1">
      <alignment horizontal="center" vertical="center" wrapText="1"/>
    </xf>
    <xf numFmtId="0" fontId="70" fillId="3" borderId="14" xfId="1" applyFont="1" applyFill="1" applyBorder="1" applyAlignment="1">
      <alignment horizontal="center" vertical="center" wrapText="1"/>
    </xf>
    <xf numFmtId="0" fontId="70" fillId="5" borderId="5" xfId="0" applyFont="1" applyFill="1" applyBorder="1" applyAlignment="1">
      <alignment horizontal="center" vertical="center"/>
    </xf>
    <xf numFmtId="0" fontId="70" fillId="5" borderId="6" xfId="0" applyFont="1" applyFill="1" applyBorder="1" applyAlignment="1">
      <alignment horizontal="center" vertical="center"/>
    </xf>
    <xf numFmtId="0" fontId="70" fillId="5" borderId="8" xfId="0" applyFont="1" applyFill="1" applyBorder="1" applyAlignment="1">
      <alignment horizontal="center" vertical="center"/>
    </xf>
    <xf numFmtId="0" fontId="25" fillId="0" borderId="5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164" fontId="70" fillId="0" borderId="1" xfId="0" applyNumberFormat="1" applyFont="1" applyFill="1" applyBorder="1" applyAlignment="1">
      <alignment horizontal="center" vertical="center"/>
    </xf>
    <xf numFmtId="164" fontId="70" fillId="0" borderId="3" xfId="0" applyNumberFormat="1" applyFont="1" applyFill="1" applyBorder="1" applyAlignment="1">
      <alignment horizontal="center" vertical="center"/>
    </xf>
    <xf numFmtId="164" fontId="70" fillId="0" borderId="2" xfId="0" applyNumberFormat="1" applyFont="1" applyFill="1" applyBorder="1" applyAlignment="1">
      <alignment horizontal="center" vertical="center"/>
    </xf>
    <xf numFmtId="0" fontId="73" fillId="0" borderId="0" xfId="0" applyFont="1" applyAlignment="1">
      <alignment horizontal="left" vertical="top" wrapText="1"/>
    </xf>
    <xf numFmtId="0" fontId="76" fillId="0" borderId="3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0" fillId="8" borderId="5" xfId="0" applyFont="1" applyFill="1" applyBorder="1" applyAlignment="1">
      <alignment horizontal="center" vertical="center" wrapText="1"/>
    </xf>
    <xf numFmtId="0" fontId="70" fillId="8" borderId="8" xfId="0" applyFont="1" applyFill="1" applyBorder="1" applyAlignment="1">
      <alignment horizontal="center" vertical="center" wrapText="1"/>
    </xf>
    <xf numFmtId="0" fontId="70" fillId="8" borderId="3" xfId="0" applyFont="1" applyFill="1" applyBorder="1" applyAlignment="1">
      <alignment horizontal="center" vertical="center" textRotation="90" wrapText="1"/>
    </xf>
    <xf numFmtId="0" fontId="70" fillId="8" borderId="10" xfId="0" applyFont="1" applyFill="1" applyBorder="1" applyAlignment="1">
      <alignment horizontal="center" vertical="center" textRotation="90" wrapText="1"/>
    </xf>
    <xf numFmtId="0" fontId="70" fillId="4" borderId="1" xfId="0" applyFont="1" applyFill="1" applyBorder="1" applyAlignment="1">
      <alignment horizontal="center" vertical="center" wrapText="1"/>
    </xf>
    <xf numFmtId="0" fontId="70" fillId="9" borderId="5" xfId="0" applyFont="1" applyFill="1" applyBorder="1" applyAlignment="1">
      <alignment horizontal="center" vertical="center" wrapText="1"/>
    </xf>
    <xf numFmtId="0" fontId="70" fillId="9" borderId="6" xfId="0" applyFont="1" applyFill="1" applyBorder="1" applyAlignment="1">
      <alignment horizontal="center" vertical="center" wrapText="1"/>
    </xf>
    <xf numFmtId="0" fontId="70" fillId="9" borderId="8" xfId="0" applyFont="1" applyFill="1" applyBorder="1" applyAlignment="1">
      <alignment horizontal="center" vertical="center" wrapText="1"/>
    </xf>
    <xf numFmtId="0" fontId="70" fillId="6" borderId="6" xfId="0" applyFont="1" applyFill="1" applyBorder="1" applyAlignment="1">
      <alignment horizontal="left" vertical="center"/>
    </xf>
    <xf numFmtId="0" fontId="70" fillId="3" borderId="5" xfId="1" applyFont="1" applyFill="1" applyBorder="1" applyAlignment="1">
      <alignment horizontal="center" vertical="center" wrapText="1"/>
    </xf>
    <xf numFmtId="0" fontId="70" fillId="3" borderId="6" xfId="1" applyFont="1" applyFill="1" applyBorder="1" applyAlignment="1">
      <alignment horizontal="center" vertical="center" wrapText="1"/>
    </xf>
    <xf numFmtId="0" fontId="70" fillId="3" borderId="8" xfId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70" fillId="8" borderId="6" xfId="0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0" fillId="9" borderId="3" xfId="0" applyFont="1" applyFill="1" applyBorder="1" applyAlignment="1">
      <alignment horizontal="center" vertical="center" textRotation="90" wrapText="1"/>
    </xf>
    <xf numFmtId="0" fontId="70" fillId="9" borderId="1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left" vertical="center" wrapText="1"/>
    </xf>
    <xf numFmtId="49" fontId="83" fillId="0" borderId="0" xfId="0" applyNumberFormat="1" applyFont="1" applyAlignment="1">
      <alignment horizontal="left" vertical="center" wrapText="1"/>
    </xf>
    <xf numFmtId="49" fontId="83" fillId="0" borderId="0" xfId="0" applyNumberFormat="1" applyFont="1" applyAlignment="1">
      <alignment horizontal="left" vertical="center"/>
    </xf>
    <xf numFmtId="49" fontId="36" fillId="0" borderId="0" xfId="0" applyNumberFormat="1" applyFont="1" applyAlignment="1">
      <alignment horizontal="left" vertical="center"/>
    </xf>
    <xf numFmtId="0" fontId="70" fillId="3" borderId="16" xfId="1" applyFont="1" applyFill="1" applyBorder="1" applyAlignment="1">
      <alignment horizontal="center" vertical="center" wrapText="1"/>
    </xf>
    <xf numFmtId="0" fontId="70" fillId="3" borderId="25" xfId="1" applyFont="1" applyFill="1" applyBorder="1" applyAlignment="1">
      <alignment horizontal="center" vertical="center" wrapText="1"/>
    </xf>
    <xf numFmtId="0" fontId="70" fillId="3" borderId="23" xfId="1" applyFont="1" applyFill="1" applyBorder="1" applyAlignment="1">
      <alignment horizontal="center" vertical="center" wrapText="1"/>
    </xf>
    <xf numFmtId="0" fontId="33" fillId="5" borderId="18" xfId="3" applyFont="1" applyFill="1" applyBorder="1" applyAlignment="1">
      <alignment horizontal="center" vertical="center" wrapText="1"/>
    </xf>
    <xf numFmtId="0" fontId="33" fillId="5" borderId="24" xfId="3" applyFont="1" applyFill="1" applyBorder="1" applyAlignment="1">
      <alignment horizontal="center" vertical="center" wrapText="1"/>
    </xf>
    <xf numFmtId="0" fontId="33" fillId="5" borderId="19" xfId="3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left" vertical="center" wrapText="1"/>
    </xf>
    <xf numFmtId="0" fontId="80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0" fontId="70" fillId="0" borderId="4" xfId="0" applyFont="1" applyFill="1" applyBorder="1" applyAlignment="1">
      <alignment horizontal="center" vertical="center" wrapText="1"/>
    </xf>
    <xf numFmtId="0" fontId="76" fillId="0" borderId="4" xfId="0" applyFont="1" applyFill="1" applyBorder="1" applyAlignment="1">
      <alignment horizontal="center" vertical="center" wrapText="1"/>
    </xf>
    <xf numFmtId="49" fontId="42" fillId="0" borderId="3" xfId="0" applyNumberFormat="1" applyFont="1" applyFill="1" applyBorder="1" applyAlignment="1">
      <alignment horizontal="center" vertical="center"/>
    </xf>
    <xf numFmtId="49" fontId="42" fillId="0" borderId="4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23" fillId="2" borderId="21" xfId="0" applyFont="1" applyFill="1" applyBorder="1" applyAlignment="1">
      <alignment horizontal="left" vertical="center" wrapText="1"/>
    </xf>
    <xf numFmtId="0" fontId="23" fillId="2" borderId="22" xfId="0" applyFont="1" applyFill="1" applyBorder="1" applyAlignment="1">
      <alignment horizontal="left" vertical="center" wrapText="1"/>
    </xf>
    <xf numFmtId="0" fontId="70" fillId="5" borderId="21" xfId="0" applyFont="1" applyFill="1" applyBorder="1" applyAlignment="1">
      <alignment horizontal="center" vertical="center"/>
    </xf>
    <xf numFmtId="0" fontId="70" fillId="5" borderId="20" xfId="0" applyFont="1" applyFill="1" applyBorder="1" applyAlignment="1">
      <alignment horizontal="center" vertical="center"/>
    </xf>
    <xf numFmtId="0" fontId="70" fillId="5" borderId="22" xfId="0" applyFont="1" applyFill="1" applyBorder="1" applyAlignment="1">
      <alignment horizontal="center" vertical="center"/>
    </xf>
    <xf numFmtId="0" fontId="46" fillId="10" borderId="5" xfId="0" applyFont="1" applyFill="1" applyBorder="1" applyAlignment="1">
      <alignment horizontal="left" vertical="center"/>
    </xf>
    <xf numFmtId="0" fontId="46" fillId="10" borderId="6" xfId="0" applyFont="1" applyFill="1" applyBorder="1" applyAlignment="1">
      <alignment horizontal="left" vertical="center"/>
    </xf>
    <xf numFmtId="0" fontId="46" fillId="10" borderId="8" xfId="0" applyFont="1" applyFill="1" applyBorder="1" applyAlignment="1">
      <alignment horizontal="left" vertical="center"/>
    </xf>
    <xf numFmtId="0" fontId="70" fillId="9" borderId="4" xfId="0" applyFont="1" applyFill="1" applyBorder="1" applyAlignment="1">
      <alignment horizontal="center" vertical="center" textRotation="90" wrapText="1"/>
    </xf>
    <xf numFmtId="0" fontId="78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49" fontId="70" fillId="0" borderId="1" xfId="0" applyNumberFormat="1" applyFont="1" applyFill="1" applyBorder="1" applyAlignment="1">
      <alignment horizontal="center" vertical="center"/>
    </xf>
    <xf numFmtId="49" fontId="70" fillId="0" borderId="3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70" fillId="8" borderId="4" xfId="0" applyFont="1" applyFill="1" applyBorder="1" applyAlignment="1">
      <alignment horizontal="center" vertical="center" textRotation="90" wrapText="1"/>
    </xf>
    <xf numFmtId="0" fontId="70" fillId="3" borderId="26" xfId="1" applyFont="1" applyFill="1" applyBorder="1" applyAlignment="1">
      <alignment horizontal="center" vertical="center" wrapText="1"/>
    </xf>
    <xf numFmtId="0" fontId="70" fillId="3" borderId="27" xfId="1" applyFont="1" applyFill="1" applyBorder="1" applyAlignment="1">
      <alignment horizontal="center" vertical="center" wrapText="1"/>
    </xf>
    <xf numFmtId="0" fontId="70" fillId="3" borderId="28" xfId="1" applyFont="1" applyFill="1" applyBorder="1" applyAlignment="1">
      <alignment horizontal="center" vertical="center" wrapText="1"/>
    </xf>
    <xf numFmtId="0" fontId="33" fillId="5" borderId="5" xfId="3" applyFont="1" applyFill="1" applyBorder="1" applyAlignment="1">
      <alignment horizontal="center" vertical="center" wrapText="1"/>
    </xf>
    <xf numFmtId="0" fontId="33" fillId="5" borderId="6" xfId="3" applyFont="1" applyFill="1" applyBorder="1" applyAlignment="1">
      <alignment horizontal="center" vertical="center" wrapText="1"/>
    </xf>
    <xf numFmtId="0" fontId="33" fillId="5" borderId="8" xfId="3" applyFont="1" applyFill="1" applyBorder="1" applyAlignment="1">
      <alignment horizontal="center" vertical="center" wrapText="1"/>
    </xf>
    <xf numFmtId="0" fontId="25" fillId="7" borderId="5" xfId="3" applyFont="1" applyFill="1" applyBorder="1" applyAlignment="1">
      <alignment horizontal="left" vertical="center" wrapText="1"/>
    </xf>
    <xf numFmtId="0" fontId="25" fillId="7" borderId="8" xfId="3" applyFont="1" applyFill="1" applyBorder="1" applyAlignment="1">
      <alignment horizontal="left" vertical="center" wrapText="1"/>
    </xf>
    <xf numFmtId="49" fontId="30" fillId="0" borderId="2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left" vertical="top" wrapText="1"/>
    </xf>
    <xf numFmtId="0" fontId="71" fillId="8" borderId="5" xfId="0" applyFont="1" applyFill="1" applyBorder="1" applyAlignment="1">
      <alignment horizontal="center" vertical="center" wrapText="1"/>
    </xf>
    <xf numFmtId="0" fontId="71" fillId="8" borderId="8" xfId="0" applyFont="1" applyFill="1" applyBorder="1" applyAlignment="1">
      <alignment horizontal="center" vertical="center" wrapText="1"/>
    </xf>
    <xf numFmtId="0" fontId="70" fillId="4" borderId="5" xfId="0" applyFont="1" applyFill="1" applyBorder="1" applyAlignment="1">
      <alignment horizontal="center" vertical="center" wrapText="1"/>
    </xf>
    <xf numFmtId="0" fontId="70" fillId="4" borderId="6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left" vertical="center" wrapText="1"/>
    </xf>
    <xf numFmtId="0" fontId="25" fillId="2" borderId="8" xfId="3" applyFont="1" applyFill="1" applyBorder="1" applyAlignment="1">
      <alignment horizontal="left" vertical="center" wrapText="1"/>
    </xf>
    <xf numFmtId="0" fontId="70" fillId="0" borderId="9" xfId="0" applyFont="1" applyFill="1" applyBorder="1" applyAlignment="1">
      <alignment horizontal="center" vertical="center" wrapText="1"/>
    </xf>
    <xf numFmtId="0" fontId="70" fillId="8" borderId="9" xfId="0" applyFont="1" applyFill="1" applyBorder="1" applyAlignment="1">
      <alignment horizontal="center" vertical="center" textRotation="90" wrapText="1"/>
    </xf>
    <xf numFmtId="49" fontId="95" fillId="2" borderId="0" xfId="0" applyNumberFormat="1" applyFont="1" applyFill="1" applyAlignment="1">
      <alignment horizontal="left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70" fillId="0" borderId="5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70" fillId="9" borderId="9" xfId="0" applyFont="1" applyFill="1" applyBorder="1" applyAlignment="1">
      <alignment horizontal="center" vertical="center" textRotation="90" wrapText="1"/>
    </xf>
    <xf numFmtId="0" fontId="45" fillId="5" borderId="5" xfId="0" applyFont="1" applyFill="1" applyBorder="1" applyAlignment="1">
      <alignment horizontal="center" vertical="center"/>
    </xf>
    <xf numFmtId="0" fontId="45" fillId="5" borderId="6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93" fillId="2" borderId="5" xfId="3" applyFont="1" applyFill="1" applyBorder="1" applyAlignment="1">
      <alignment horizontal="left" vertical="center" wrapText="1"/>
    </xf>
    <xf numFmtId="0" fontId="93" fillId="2" borderId="6" xfId="3" applyFont="1" applyFill="1" applyBorder="1" applyAlignment="1">
      <alignment horizontal="left" vertical="center" wrapText="1"/>
    </xf>
    <xf numFmtId="0" fontId="93" fillId="2" borderId="8" xfId="3" applyFont="1" applyFill="1" applyBorder="1" applyAlignment="1">
      <alignment horizontal="left" vertical="center" wrapText="1"/>
    </xf>
    <xf numFmtId="0" fontId="97" fillId="5" borderId="5" xfId="0" applyFont="1" applyFill="1" applyBorder="1" applyAlignment="1">
      <alignment horizontal="center" vertical="center"/>
    </xf>
    <xf numFmtId="0" fontId="97" fillId="5" borderId="6" xfId="0" applyFont="1" applyFill="1" applyBorder="1" applyAlignment="1">
      <alignment horizontal="center" vertical="center"/>
    </xf>
    <xf numFmtId="0" fontId="97" fillId="5" borderId="8" xfId="0" applyFont="1" applyFill="1" applyBorder="1" applyAlignment="1">
      <alignment horizontal="center" vertical="center"/>
    </xf>
    <xf numFmtId="49" fontId="95" fillId="0" borderId="0" xfId="0" applyNumberFormat="1" applyFont="1" applyAlignment="1">
      <alignment horizontal="left" vertical="center"/>
    </xf>
    <xf numFmtId="0" fontId="97" fillId="3" borderId="16" xfId="1" applyFont="1" applyFill="1" applyBorder="1" applyAlignment="1">
      <alignment horizontal="center" vertical="center" wrapText="1"/>
    </xf>
    <xf numFmtId="0" fontId="97" fillId="3" borderId="25" xfId="1" applyFont="1" applyFill="1" applyBorder="1" applyAlignment="1">
      <alignment horizontal="center" vertical="center" wrapText="1"/>
    </xf>
    <xf numFmtId="0" fontId="97" fillId="3" borderId="23" xfId="1" applyFont="1" applyFill="1" applyBorder="1" applyAlignment="1">
      <alignment horizontal="center" vertical="center" wrapText="1"/>
    </xf>
    <xf numFmtId="0" fontId="107" fillId="5" borderId="18" xfId="3" applyFont="1" applyFill="1" applyBorder="1" applyAlignment="1">
      <alignment horizontal="center" vertical="center" wrapText="1"/>
    </xf>
    <xf numFmtId="0" fontId="107" fillId="5" borderId="24" xfId="3" applyFont="1" applyFill="1" applyBorder="1" applyAlignment="1">
      <alignment horizontal="center" vertical="center" wrapText="1"/>
    </xf>
    <xf numFmtId="0" fontId="107" fillId="5" borderId="19" xfId="3" applyFont="1" applyFill="1" applyBorder="1" applyAlignment="1">
      <alignment horizontal="center" vertical="center" wrapText="1"/>
    </xf>
    <xf numFmtId="0" fontId="99" fillId="0" borderId="0" xfId="0" applyFont="1" applyFill="1" applyBorder="1" applyAlignment="1">
      <alignment horizontal="center" vertical="center" wrapText="1"/>
    </xf>
    <xf numFmtId="0" fontId="97" fillId="0" borderId="5" xfId="0" applyFont="1" applyFill="1" applyBorder="1" applyAlignment="1">
      <alignment horizontal="center" vertical="center" wrapText="1"/>
    </xf>
    <xf numFmtId="0" fontId="91" fillId="0" borderId="6" xfId="0" applyFont="1" applyFill="1" applyBorder="1" applyAlignment="1">
      <alignment horizontal="center" vertical="center" wrapText="1"/>
    </xf>
    <xf numFmtId="0" fontId="91" fillId="0" borderId="5" xfId="0" applyFont="1" applyFill="1" applyBorder="1" applyAlignment="1">
      <alignment horizontal="center" vertical="center"/>
    </xf>
    <xf numFmtId="0" fontId="91" fillId="0" borderId="6" xfId="0" applyFont="1" applyFill="1" applyBorder="1" applyAlignment="1">
      <alignment horizontal="center" vertical="center"/>
    </xf>
    <xf numFmtId="0" fontId="91" fillId="0" borderId="8" xfId="0" applyFont="1" applyFill="1" applyBorder="1" applyAlignment="1">
      <alignment horizontal="center" vertical="center"/>
    </xf>
    <xf numFmtId="164" fontId="97" fillId="0" borderId="1" xfId="0" applyNumberFormat="1" applyFont="1" applyFill="1" applyBorder="1" applyAlignment="1">
      <alignment horizontal="center" vertical="center"/>
    </xf>
    <xf numFmtId="164" fontId="97" fillId="0" borderId="3" xfId="0" applyNumberFormat="1" applyFont="1" applyFill="1" applyBorder="1" applyAlignment="1">
      <alignment horizontal="center" vertical="center"/>
    </xf>
    <xf numFmtId="0" fontId="97" fillId="0" borderId="1" xfId="0" applyFont="1" applyFill="1" applyBorder="1" applyAlignment="1">
      <alignment horizontal="center" vertical="center" wrapText="1"/>
    </xf>
    <xf numFmtId="0" fontId="97" fillId="0" borderId="3" xfId="0" applyFont="1" applyFill="1" applyBorder="1" applyAlignment="1">
      <alignment horizontal="center" vertical="center" wrapText="1"/>
    </xf>
    <xf numFmtId="0" fontId="91" fillId="0" borderId="1" xfId="0" applyFont="1" applyFill="1" applyBorder="1" applyAlignment="1">
      <alignment horizontal="center" vertical="center" wrapText="1"/>
    </xf>
    <xf numFmtId="0" fontId="106" fillId="0" borderId="3" xfId="0" applyFont="1" applyFill="1" applyBorder="1" applyAlignment="1">
      <alignment horizontal="center" vertical="center" wrapText="1"/>
    </xf>
    <xf numFmtId="0" fontId="106" fillId="0" borderId="9" xfId="0" applyFont="1" applyFill="1" applyBorder="1" applyAlignment="1">
      <alignment horizontal="center" vertical="center" wrapText="1"/>
    </xf>
    <xf numFmtId="0" fontId="97" fillId="0" borderId="9" xfId="0" applyFont="1" applyFill="1" applyBorder="1" applyAlignment="1">
      <alignment horizontal="center" vertical="center" wrapText="1"/>
    </xf>
    <xf numFmtId="0" fontId="97" fillId="8" borderId="3" xfId="0" applyFont="1" applyFill="1" applyBorder="1" applyAlignment="1">
      <alignment horizontal="center" vertical="center" textRotation="90" wrapText="1"/>
    </xf>
    <xf numFmtId="0" fontId="97" fillId="8" borderId="9" xfId="0" applyFont="1" applyFill="1" applyBorder="1" applyAlignment="1">
      <alignment horizontal="center" vertical="center" textRotation="90" wrapText="1"/>
    </xf>
    <xf numFmtId="0" fontId="97" fillId="8" borderId="5" xfId="0" applyFont="1" applyFill="1" applyBorder="1" applyAlignment="1">
      <alignment horizontal="center" vertical="center" wrapText="1"/>
    </xf>
    <xf numFmtId="0" fontId="97" fillId="8" borderId="8" xfId="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left" vertical="center" wrapText="1"/>
    </xf>
    <xf numFmtId="0" fontId="102" fillId="0" borderId="0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left" vertical="center" wrapText="1"/>
    </xf>
    <xf numFmtId="0" fontId="97" fillId="4" borderId="1" xfId="0" applyFont="1" applyFill="1" applyBorder="1" applyAlignment="1">
      <alignment horizontal="center" vertical="center" wrapText="1"/>
    </xf>
    <xf numFmtId="0" fontId="97" fillId="9" borderId="5" xfId="0" applyFont="1" applyFill="1" applyBorder="1" applyAlignment="1">
      <alignment horizontal="center" vertical="center" wrapText="1"/>
    </xf>
    <xf numFmtId="0" fontId="97" fillId="9" borderId="6" xfId="0" applyFont="1" applyFill="1" applyBorder="1" applyAlignment="1">
      <alignment horizontal="center" vertical="center" wrapText="1"/>
    </xf>
    <xf numFmtId="0" fontId="97" fillId="9" borderId="8" xfId="0" applyFont="1" applyFill="1" applyBorder="1" applyAlignment="1">
      <alignment horizontal="center" vertical="center" wrapText="1"/>
    </xf>
    <xf numFmtId="0" fontId="97" fillId="8" borderId="6" xfId="0" applyFont="1" applyFill="1" applyBorder="1" applyAlignment="1">
      <alignment horizontal="center" vertical="center" wrapText="1"/>
    </xf>
    <xf numFmtId="49" fontId="105" fillId="0" borderId="20" xfId="0" applyNumberFormat="1" applyFont="1" applyBorder="1" applyAlignment="1">
      <alignment horizontal="center"/>
    </xf>
    <xf numFmtId="0" fontId="97" fillId="9" borderId="3" xfId="0" applyFont="1" applyFill="1" applyBorder="1" applyAlignment="1">
      <alignment horizontal="center" vertical="center" wrapText="1"/>
    </xf>
    <xf numFmtId="0" fontId="97" fillId="9" borderId="9" xfId="0" applyFont="1" applyFill="1" applyBorder="1" applyAlignment="1">
      <alignment horizontal="center" vertical="center" wrapText="1"/>
    </xf>
    <xf numFmtId="0" fontId="33" fillId="5" borderId="1" xfId="3" applyFont="1" applyFill="1" applyBorder="1" applyAlignment="1">
      <alignment horizontal="center" vertical="center" wrapText="1"/>
    </xf>
    <xf numFmtId="0" fontId="33" fillId="5" borderId="7" xfId="3" applyFont="1" applyFill="1" applyBorder="1" applyAlignment="1">
      <alignment horizontal="center" vertical="center" wrapText="1"/>
    </xf>
    <xf numFmtId="0" fontId="33" fillId="5" borderId="29" xfId="3" applyFont="1" applyFill="1" applyBorder="1" applyAlignment="1">
      <alignment horizontal="center" vertical="center" wrapText="1"/>
    </xf>
    <xf numFmtId="0" fontId="33" fillId="5" borderId="14" xfId="3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top" wrapText="1"/>
    </xf>
    <xf numFmtId="0" fontId="52" fillId="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left" vertical="center"/>
    </xf>
    <xf numFmtId="0" fontId="7" fillId="10" borderId="6" xfId="0" applyFont="1" applyFill="1" applyBorder="1" applyAlignment="1">
      <alignment horizontal="left" vertical="center"/>
    </xf>
    <xf numFmtId="0" fontId="7" fillId="10" borderId="8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 wrapText="1"/>
    </xf>
    <xf numFmtId="0" fontId="45" fillId="3" borderId="5" xfId="1" applyFont="1" applyFill="1" applyBorder="1" applyAlignment="1">
      <alignment horizontal="center" vertical="center" wrapText="1"/>
    </xf>
    <xf numFmtId="0" fontId="45" fillId="3" borderId="6" xfId="1" applyFont="1" applyFill="1" applyBorder="1" applyAlignment="1">
      <alignment horizontal="center" vertical="center" wrapText="1"/>
    </xf>
    <xf numFmtId="0" fontId="45" fillId="3" borderId="8" xfId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47" fillId="5" borderId="5" xfId="3" applyFont="1" applyFill="1" applyBorder="1" applyAlignment="1">
      <alignment horizontal="center" vertical="center" wrapText="1"/>
    </xf>
    <xf numFmtId="0" fontId="47" fillId="5" borderId="6" xfId="3" applyFont="1" applyFill="1" applyBorder="1" applyAlignment="1">
      <alignment horizontal="center" vertical="center" wrapText="1"/>
    </xf>
    <xf numFmtId="0" fontId="47" fillId="5" borderId="8" xfId="3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left" vertical="center" wrapText="1"/>
    </xf>
    <xf numFmtId="0" fontId="46" fillId="2" borderId="14" xfId="0" applyFont="1" applyFill="1" applyBorder="1" applyAlignment="1">
      <alignment horizontal="left" vertical="center" wrapText="1"/>
    </xf>
    <xf numFmtId="0" fontId="46" fillId="2" borderId="21" xfId="0" applyFont="1" applyFill="1" applyBorder="1" applyAlignment="1">
      <alignment horizontal="left" vertical="center" wrapText="1"/>
    </xf>
    <xf numFmtId="0" fontId="46" fillId="2" borderId="22" xfId="0" applyFont="1" applyFill="1" applyBorder="1" applyAlignment="1">
      <alignment horizontal="left" vertical="center" wrapText="1"/>
    </xf>
    <xf numFmtId="0" fontId="46" fillId="0" borderId="5" xfId="3" applyFont="1" applyFill="1" applyBorder="1" applyAlignment="1">
      <alignment horizontal="left" vertical="center" wrapText="1"/>
    </xf>
    <xf numFmtId="0" fontId="46" fillId="0" borderId="8" xfId="3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52" fillId="10" borderId="5" xfId="0" applyFont="1" applyFill="1" applyBorder="1" applyAlignment="1">
      <alignment horizontal="left" vertical="center"/>
    </xf>
    <xf numFmtId="0" fontId="52" fillId="10" borderId="6" xfId="0" applyFont="1" applyFill="1" applyBorder="1" applyAlignment="1">
      <alignment horizontal="left" vertical="center"/>
    </xf>
    <xf numFmtId="0" fontId="52" fillId="10" borderId="8" xfId="0" applyFont="1" applyFill="1" applyBorder="1" applyAlignment="1">
      <alignment horizontal="left" vertical="center"/>
    </xf>
    <xf numFmtId="0" fontId="52" fillId="5" borderId="7" xfId="0" applyFont="1" applyFill="1" applyBorder="1" applyAlignment="1">
      <alignment horizontal="center" vertical="center"/>
    </xf>
    <xf numFmtId="0" fontId="52" fillId="5" borderId="29" xfId="0" applyFont="1" applyFill="1" applyBorder="1" applyAlignment="1">
      <alignment horizontal="center" vertical="center"/>
    </xf>
    <xf numFmtId="0" fontId="52" fillId="5" borderId="14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 wrapText="1"/>
    </xf>
    <xf numFmtId="0" fontId="52" fillId="5" borderId="1" xfId="0" applyFont="1" applyFill="1" applyBorder="1" applyAlignment="1">
      <alignment horizontal="center" vertical="center"/>
    </xf>
    <xf numFmtId="0" fontId="46" fillId="3" borderId="5" xfId="1" applyFont="1" applyFill="1" applyBorder="1" applyAlignment="1">
      <alignment horizontal="center" vertical="center" wrapText="1"/>
    </xf>
    <xf numFmtId="0" fontId="46" fillId="3" borderId="6" xfId="1" applyFont="1" applyFill="1" applyBorder="1" applyAlignment="1">
      <alignment horizontal="center" vertical="center" wrapText="1"/>
    </xf>
    <xf numFmtId="0" fontId="46" fillId="3" borderId="8" xfId="1" applyFont="1" applyFill="1" applyBorder="1" applyAlignment="1">
      <alignment horizontal="center" vertical="center" wrapText="1"/>
    </xf>
    <xf numFmtId="164" fontId="51" fillId="0" borderId="3" xfId="0" applyNumberFormat="1" applyFont="1" applyFill="1" applyBorder="1" applyAlignment="1">
      <alignment horizontal="center" vertical="center"/>
    </xf>
    <xf numFmtId="164" fontId="51" fillId="0" borderId="4" xfId="0" applyNumberFormat="1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textRotation="90"/>
    </xf>
    <xf numFmtId="164" fontId="18" fillId="11" borderId="5" xfId="0" applyNumberFormat="1" applyFont="1" applyFill="1" applyBorder="1" applyAlignment="1">
      <alignment horizontal="left" vertical="center"/>
    </xf>
    <xf numFmtId="164" fontId="18" fillId="11" borderId="6" xfId="0" applyNumberFormat="1" applyFont="1" applyFill="1" applyBorder="1" applyAlignment="1">
      <alignment horizontal="left" vertical="center"/>
    </xf>
    <xf numFmtId="164" fontId="18" fillId="11" borderId="8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164" fontId="7" fillId="12" borderId="5" xfId="0" applyNumberFormat="1" applyFont="1" applyFill="1" applyBorder="1" applyAlignment="1">
      <alignment horizontal="left" vertical="center" wrapText="1"/>
    </xf>
    <xf numFmtId="164" fontId="7" fillId="12" borderId="6" xfId="0" applyNumberFormat="1" applyFont="1" applyFill="1" applyBorder="1" applyAlignment="1">
      <alignment horizontal="left" vertical="center" wrapText="1"/>
    </xf>
    <xf numFmtId="164" fontId="7" fillId="1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7" fillId="13" borderId="5" xfId="0" applyNumberFormat="1" applyFont="1" applyFill="1" applyBorder="1" applyAlignment="1">
      <alignment horizontal="left" vertical="center" wrapText="1"/>
    </xf>
    <xf numFmtId="164" fontId="7" fillId="13" borderId="6" xfId="0" applyNumberFormat="1" applyFont="1" applyFill="1" applyBorder="1" applyAlignment="1">
      <alignment horizontal="left" vertical="center" wrapText="1"/>
    </xf>
    <xf numFmtId="164" fontId="7" fillId="13" borderId="8" xfId="0" applyNumberFormat="1" applyFont="1" applyFill="1" applyBorder="1" applyAlignment="1">
      <alignment horizontal="left" vertical="center" wrapText="1"/>
    </xf>
    <xf numFmtId="0" fontId="6" fillId="13" borderId="5" xfId="0" applyFont="1" applyFill="1" applyBorder="1" applyAlignment="1">
      <alignment horizontal="left" vertical="center"/>
    </xf>
    <xf numFmtId="0" fontId="6" fillId="13" borderId="6" xfId="0" applyFont="1" applyFill="1" applyBorder="1" applyAlignment="1">
      <alignment horizontal="left" vertical="center"/>
    </xf>
    <xf numFmtId="0" fontId="6" fillId="13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</cellXfs>
  <cellStyles count="15">
    <cellStyle name="Dziesiętny" xfId="5" builtinId="3"/>
    <cellStyle name="Dziesiętny 2" xfId="8" xr:uid="{00000000-0005-0000-0000-000001000000}"/>
    <cellStyle name="Dziesiętny 2 2" xfId="14" xr:uid="{00000000-0005-0000-0000-000001000000}"/>
    <cellStyle name="Dziesiętny 3" xfId="11" xr:uid="{00000000-0005-0000-0000-000036000000}"/>
    <cellStyle name="Normalny" xfId="0" builtinId="0"/>
    <cellStyle name="Normalny 2" xfId="1" xr:uid="{00000000-0005-0000-0000-000003000000}"/>
    <cellStyle name="Normalny 2 2" xfId="4" xr:uid="{00000000-0005-0000-0000-000004000000}"/>
    <cellStyle name="Normalny 2 2 2" xfId="7" xr:uid="{00000000-0005-0000-0000-000005000000}"/>
    <cellStyle name="Normalny 2 2 2 2" xfId="13" xr:uid="{00000000-0005-0000-0000-000005000000}"/>
    <cellStyle name="Normalny 2 2 3" xfId="10" xr:uid="{00000000-0005-0000-0000-000004000000}"/>
    <cellStyle name="Normalny 2 3" xfId="6" xr:uid="{00000000-0005-0000-0000-000006000000}"/>
    <cellStyle name="Normalny 2 3 2" xfId="12" xr:uid="{00000000-0005-0000-0000-000006000000}"/>
    <cellStyle name="Normalny 2 4" xfId="9" xr:uid="{00000000-0005-0000-0000-000003000000}"/>
    <cellStyle name="Normalny 3" xfId="3" xr:uid="{00000000-0005-0000-0000-000007000000}"/>
    <cellStyle name="Normalny 4" xfId="2" xr:uid="{00000000-0005-0000-0000-000008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8363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309563</xdr:colOff>
      <xdr:row>52</xdr:row>
      <xdr:rowOff>419101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9563" y="170521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>
    <xdr:from>
      <xdr:col>26</xdr:col>
      <xdr:colOff>333375</xdr:colOff>
      <xdr:row>0</xdr:row>
      <xdr:rowOff>47626</xdr:rowOff>
    </xdr:from>
    <xdr:to>
      <xdr:col>30</xdr:col>
      <xdr:colOff>631031</xdr:colOff>
      <xdr:row>0</xdr:row>
      <xdr:rowOff>523876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73563" y="47626"/>
          <a:ext cx="22979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2020/2021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174238</xdr:colOff>
      <xdr:row>0</xdr:row>
      <xdr:rowOff>615640</xdr:rowOff>
    </xdr:from>
    <xdr:to>
      <xdr:col>29</xdr:col>
      <xdr:colOff>522714</xdr:colOff>
      <xdr:row>3</xdr:row>
      <xdr:rowOff>255548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4" y="615640"/>
          <a:ext cx="3682226" cy="1184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Nauki i Szkolnictwa Wyższego z dnia 26 lipca 2019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122960</xdr:colOff>
      <xdr:row>1</xdr:row>
      <xdr:rowOff>157162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134866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142876</xdr:colOff>
      <xdr:row>66</xdr:row>
      <xdr:rowOff>205053</xdr:rowOff>
    </xdr:from>
    <xdr:ext cx="2000251" cy="12025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876" y="18376636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257175</xdr:colOff>
      <xdr:row>0</xdr:row>
      <xdr:rowOff>133350</xdr:rowOff>
    </xdr:from>
    <xdr:to>
      <xdr:col>26</xdr:col>
      <xdr:colOff>134867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311829</xdr:colOff>
      <xdr:row>0</xdr:row>
      <xdr:rowOff>36853</xdr:rowOff>
    </xdr:from>
    <xdr:to>
      <xdr:col>30</xdr:col>
      <xdr:colOff>577395</xdr:colOff>
      <xdr:row>0</xdr:row>
      <xdr:rowOff>513103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188972" y="36853"/>
          <a:ext cx="2249941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2020/2021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90715</xdr:colOff>
      <xdr:row>1</xdr:row>
      <xdr:rowOff>22679</xdr:rowOff>
    </xdr:from>
    <xdr:to>
      <xdr:col>30</xdr:col>
      <xdr:colOff>578305</xdr:colOff>
      <xdr:row>3</xdr:row>
      <xdr:rowOff>156565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01" y="566965"/>
          <a:ext cx="3469822" cy="1120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53</xdr:row>
      <xdr:rowOff>0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4344" y="14978063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2020/2021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431948</xdr:colOff>
      <xdr:row>1</xdr:row>
      <xdr:rowOff>1</xdr:rowOff>
    </xdr:from>
    <xdr:to>
      <xdr:col>31</xdr:col>
      <xdr:colOff>12425</xdr:colOff>
      <xdr:row>3</xdr:row>
      <xdr:rowOff>188284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5582" y="454100"/>
          <a:ext cx="3700593" cy="109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55</xdr:row>
      <xdr:rowOff>166687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16719" y="17668875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25</xdr:col>
      <xdr:colOff>107159</xdr:colOff>
      <xdr:row>1</xdr:row>
      <xdr:rowOff>261937</xdr:rowOff>
    </xdr:from>
    <xdr:to>
      <xdr:col>31</xdr:col>
      <xdr:colOff>11908</xdr:colOff>
      <xdr:row>5</xdr:row>
      <xdr:rowOff>15692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1940" y="809625"/>
          <a:ext cx="3440906" cy="111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192017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345281</xdr:colOff>
      <xdr:row>78</xdr:row>
      <xdr:rowOff>214314</xdr:rowOff>
    </xdr:from>
    <xdr:ext cx="2405062" cy="1190624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45281" y="25312689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257000</xdr:colOff>
      <xdr:row>0</xdr:row>
      <xdr:rowOff>178303</xdr:rowOff>
    </xdr:from>
    <xdr:to>
      <xdr:col>30</xdr:col>
      <xdr:colOff>360091</xdr:colOff>
      <xdr:row>1</xdr:row>
      <xdr:rowOff>116158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7947945" y="178303"/>
          <a:ext cx="2263640" cy="414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545946</xdr:colOff>
      <xdr:row>1</xdr:row>
      <xdr:rowOff>116158</xdr:rowOff>
    </xdr:from>
    <xdr:to>
      <xdr:col>31</xdr:col>
      <xdr:colOff>46463</xdr:colOff>
      <xdr:row>3</xdr:row>
      <xdr:rowOff>278780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52074" y="592408"/>
          <a:ext cx="3507987" cy="10570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132485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144391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31</xdr:col>
      <xdr:colOff>84668</xdr:colOff>
      <xdr:row>1</xdr:row>
      <xdr:rowOff>285749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795376" y="195791"/>
          <a:ext cx="1973792" cy="418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36</xdr:row>
      <xdr:rowOff>169332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0" y="8350249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232835</xdr:colOff>
      <xdr:row>1</xdr:row>
      <xdr:rowOff>281282</xdr:rowOff>
    </xdr:from>
    <xdr:to>
      <xdr:col>31</xdr:col>
      <xdr:colOff>21167</xdr:colOff>
      <xdr:row>4</xdr:row>
      <xdr:rowOff>31749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9002" y="609365"/>
          <a:ext cx="3386666" cy="99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114301</xdr:colOff>
      <xdr:row>0</xdr:row>
      <xdr:rowOff>514351</xdr:rowOff>
    </xdr:from>
    <xdr:to>
      <xdr:col>11</xdr:col>
      <xdr:colOff>76201</xdr:colOff>
      <xdr:row>1</xdr:row>
      <xdr:rowOff>66675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086601" y="514351"/>
          <a:ext cx="1943100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400050</xdr:colOff>
      <xdr:row>1</xdr:row>
      <xdr:rowOff>38100</xdr:rowOff>
    </xdr:from>
    <xdr:to>
      <xdr:col>10</xdr:col>
      <xdr:colOff>433916</xdr:colOff>
      <xdr:row>2</xdr:row>
      <xdr:rowOff>741128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885825"/>
          <a:ext cx="3386666" cy="10935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8"/>
  <sheetViews>
    <sheetView zoomScale="82" zoomScaleNormal="82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A45" sqref="A45:F45"/>
    </sheetView>
  </sheetViews>
  <sheetFormatPr defaultRowHeight="15"/>
  <cols>
    <col min="1" max="1" width="5.42578125" style="24" customWidth="1"/>
    <col min="2" max="2" width="47.85546875" style="33" customWidth="1"/>
    <col min="3" max="3" width="23.85546875" style="52" customWidth="1"/>
    <col min="4" max="4" width="5.140625" style="12" customWidth="1"/>
    <col min="5" max="5" width="7.7109375" style="12" customWidth="1"/>
    <col min="6" max="6" width="7.28515625" style="12" customWidth="1"/>
    <col min="7" max="7" width="11.5703125" style="12" customWidth="1"/>
    <col min="8" max="24" width="7.5703125" style="12" customWidth="1"/>
    <col min="25" max="25" width="10.5703125" style="12" bestFit="1" customWidth="1"/>
    <col min="26" max="27" width="6.7109375" style="12" customWidth="1"/>
    <col min="28" max="28" width="11.42578125" style="12" customWidth="1"/>
    <col min="29" max="29" width="6.7109375" style="12" customWidth="1"/>
    <col min="30" max="30" width="9.5703125" style="12" customWidth="1"/>
    <col min="31" max="31" width="9.7109375" style="12" customWidth="1"/>
    <col min="32" max="16384" width="9.140625" style="12"/>
  </cols>
  <sheetData>
    <row r="1" spans="1:31" ht="33.75" customHeight="1">
      <c r="A1" s="608" t="s">
        <v>376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</row>
    <row r="2" spans="1:31" ht="27" customHeight="1">
      <c r="A2" s="622" t="s">
        <v>504</v>
      </c>
      <c r="B2" s="622"/>
      <c r="C2" s="50" t="s">
        <v>111</v>
      </c>
      <c r="E2" s="48"/>
      <c r="F2" s="48"/>
      <c r="G2" s="48"/>
      <c r="H2" s="624" t="s">
        <v>109</v>
      </c>
      <c r="I2" s="624"/>
      <c r="J2" s="624"/>
      <c r="K2" s="624"/>
      <c r="L2" s="624"/>
      <c r="M2" s="624"/>
      <c r="N2" s="624"/>
      <c r="O2" s="624"/>
      <c r="P2" s="624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28.5" customHeight="1">
      <c r="A3" s="623" t="s">
        <v>110</v>
      </c>
      <c r="B3" s="623"/>
      <c r="C3" s="51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47"/>
    </row>
    <row r="4" spans="1:31" ht="18.75" customHeight="1">
      <c r="A4" s="12"/>
      <c r="B4" s="575" t="s">
        <v>333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5" spans="1:31" ht="14.25">
      <c r="A5" s="610"/>
      <c r="B5" s="611"/>
      <c r="C5" s="611"/>
      <c r="D5" s="611"/>
      <c r="E5" s="611"/>
      <c r="F5" s="612"/>
      <c r="G5" s="613" t="s">
        <v>3</v>
      </c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C5" s="614"/>
      <c r="AD5" s="614"/>
      <c r="AE5" s="615"/>
    </row>
    <row r="6" spans="1:31" ht="15" customHeight="1">
      <c r="A6" s="589" t="s">
        <v>0</v>
      </c>
      <c r="B6" s="587" t="s">
        <v>4</v>
      </c>
      <c r="C6" s="587" t="s">
        <v>1</v>
      </c>
      <c r="D6" s="587" t="s">
        <v>8</v>
      </c>
      <c r="E6" s="587"/>
      <c r="F6" s="587"/>
      <c r="G6" s="600" t="s">
        <v>104</v>
      </c>
      <c r="H6" s="600"/>
      <c r="I6" s="600"/>
      <c r="J6" s="600"/>
      <c r="K6" s="600"/>
      <c r="L6" s="600"/>
      <c r="M6" s="600"/>
      <c r="N6" s="600"/>
      <c r="O6" s="600"/>
      <c r="P6" s="600"/>
      <c r="Q6" s="600"/>
      <c r="R6" s="600"/>
      <c r="S6" s="600"/>
      <c r="T6" s="600"/>
      <c r="U6" s="600"/>
      <c r="V6" s="600"/>
      <c r="W6" s="600"/>
      <c r="X6" s="600"/>
      <c r="Y6" s="593" t="s">
        <v>5</v>
      </c>
      <c r="Z6" s="593" t="s">
        <v>89</v>
      </c>
      <c r="AA6" s="593" t="s">
        <v>88</v>
      </c>
      <c r="AB6" s="593" t="s">
        <v>94</v>
      </c>
      <c r="AC6" s="593" t="s">
        <v>90</v>
      </c>
      <c r="AD6" s="593" t="s">
        <v>14</v>
      </c>
      <c r="AE6" s="617" t="s">
        <v>6</v>
      </c>
    </row>
    <row r="7" spans="1:31" ht="15" customHeight="1">
      <c r="A7" s="589"/>
      <c r="B7" s="587"/>
      <c r="C7" s="587"/>
      <c r="D7" s="587"/>
      <c r="E7" s="587"/>
      <c r="F7" s="587"/>
      <c r="G7" s="601" t="s">
        <v>10</v>
      </c>
      <c r="H7" s="602"/>
      <c r="I7" s="602"/>
      <c r="J7" s="602"/>
      <c r="K7" s="602"/>
      <c r="L7" s="602"/>
      <c r="M7" s="602"/>
      <c r="N7" s="602"/>
      <c r="O7" s="603"/>
      <c r="P7" s="596" t="s">
        <v>11</v>
      </c>
      <c r="Q7" s="616"/>
      <c r="R7" s="616"/>
      <c r="S7" s="616"/>
      <c r="T7" s="616"/>
      <c r="U7" s="616"/>
      <c r="V7" s="616"/>
      <c r="W7" s="616"/>
      <c r="X7" s="597"/>
      <c r="Y7" s="594"/>
      <c r="Z7" s="594"/>
      <c r="AA7" s="594"/>
      <c r="AB7" s="594"/>
      <c r="AC7" s="594"/>
      <c r="AD7" s="594"/>
      <c r="AE7" s="618"/>
    </row>
    <row r="8" spans="1:31" ht="14.25" customHeight="1">
      <c r="A8" s="590"/>
      <c r="B8" s="585"/>
      <c r="C8" s="585"/>
      <c r="D8" s="585" t="s">
        <v>2</v>
      </c>
      <c r="E8" s="585" t="s">
        <v>13</v>
      </c>
      <c r="F8" s="585" t="s">
        <v>12</v>
      </c>
      <c r="G8" s="601" t="s">
        <v>334</v>
      </c>
      <c r="H8" s="603"/>
      <c r="I8" s="601" t="s">
        <v>335</v>
      </c>
      <c r="J8" s="603"/>
      <c r="K8" s="601" t="s">
        <v>336</v>
      </c>
      <c r="L8" s="603"/>
      <c r="M8" s="601" t="s">
        <v>337</v>
      </c>
      <c r="N8" s="603"/>
      <c r="O8" s="620" t="s">
        <v>7</v>
      </c>
      <c r="P8" s="596" t="s">
        <v>334</v>
      </c>
      <c r="Q8" s="597"/>
      <c r="R8" s="596" t="s">
        <v>335</v>
      </c>
      <c r="S8" s="597"/>
      <c r="T8" s="596" t="s">
        <v>336</v>
      </c>
      <c r="U8" s="597"/>
      <c r="V8" s="596" t="s">
        <v>337</v>
      </c>
      <c r="W8" s="597"/>
      <c r="X8" s="598" t="s">
        <v>7</v>
      </c>
      <c r="Y8" s="594"/>
      <c r="Z8" s="594"/>
      <c r="AA8" s="594"/>
      <c r="AB8" s="594"/>
      <c r="AC8" s="594"/>
      <c r="AD8" s="594"/>
      <c r="AE8" s="618"/>
    </row>
    <row r="9" spans="1:31" ht="41.25" customHeight="1" thickBot="1">
      <c r="A9" s="591"/>
      <c r="B9" s="588"/>
      <c r="C9" s="588"/>
      <c r="D9" s="586"/>
      <c r="E9" s="586"/>
      <c r="F9" s="586"/>
      <c r="G9" s="305" t="s">
        <v>15</v>
      </c>
      <c r="H9" s="305" t="s">
        <v>16</v>
      </c>
      <c r="I9" s="305" t="s">
        <v>15</v>
      </c>
      <c r="J9" s="305" t="s">
        <v>16</v>
      </c>
      <c r="K9" s="305" t="s">
        <v>15</v>
      </c>
      <c r="L9" s="305" t="s">
        <v>16</v>
      </c>
      <c r="M9" s="305" t="s">
        <v>15</v>
      </c>
      <c r="N9" s="305" t="s">
        <v>16</v>
      </c>
      <c r="O9" s="621"/>
      <c r="P9" s="306" t="s">
        <v>15</v>
      </c>
      <c r="Q9" s="306" t="s">
        <v>16</v>
      </c>
      <c r="R9" s="306" t="s">
        <v>15</v>
      </c>
      <c r="S9" s="306" t="s">
        <v>16</v>
      </c>
      <c r="T9" s="306" t="s">
        <v>15</v>
      </c>
      <c r="U9" s="306" t="s">
        <v>16</v>
      </c>
      <c r="V9" s="306" t="s">
        <v>15</v>
      </c>
      <c r="W9" s="306" t="s">
        <v>16</v>
      </c>
      <c r="X9" s="599"/>
      <c r="Y9" s="595"/>
      <c r="Z9" s="595"/>
      <c r="AA9" s="595"/>
      <c r="AB9" s="595"/>
      <c r="AC9" s="595"/>
      <c r="AD9" s="595"/>
      <c r="AE9" s="619"/>
    </row>
    <row r="10" spans="1:31" ht="23.25" customHeight="1">
      <c r="A10" s="307" t="s">
        <v>379</v>
      </c>
      <c r="B10" s="308"/>
      <c r="C10" s="309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13"/>
    </row>
    <row r="11" spans="1:31" ht="29.25" customHeight="1">
      <c r="A11" s="310">
        <v>1.1000000000000001</v>
      </c>
      <c r="B11" s="14" t="s">
        <v>18</v>
      </c>
      <c r="C11" s="311" t="str">
        <f>RAZEM!C6</f>
        <v>0912-7LEK-B1,1-A</v>
      </c>
      <c r="D11" s="312">
        <v>2</v>
      </c>
      <c r="E11" s="313" t="s">
        <v>259</v>
      </c>
      <c r="F11" s="313"/>
      <c r="G11" s="54">
        <v>40</v>
      </c>
      <c r="H11" s="54">
        <v>35</v>
      </c>
      <c r="I11" s="54">
        <v>30</v>
      </c>
      <c r="J11" s="54">
        <v>50</v>
      </c>
      <c r="K11" s="54">
        <v>45</v>
      </c>
      <c r="L11" s="54"/>
      <c r="M11" s="54"/>
      <c r="N11" s="54"/>
      <c r="O11" s="314">
        <v>8</v>
      </c>
      <c r="P11" s="55">
        <v>35</v>
      </c>
      <c r="Q11" s="55">
        <v>40</v>
      </c>
      <c r="R11" s="55">
        <v>30</v>
      </c>
      <c r="S11" s="55">
        <v>75</v>
      </c>
      <c r="T11" s="55">
        <v>45</v>
      </c>
      <c r="U11" s="55"/>
      <c r="V11" s="55"/>
      <c r="W11" s="55"/>
      <c r="X11" s="55">
        <v>9</v>
      </c>
      <c r="Y11" s="44">
        <f>SUM(Z11:AC11)</f>
        <v>225</v>
      </c>
      <c r="Z11" s="44">
        <f>G11+P11</f>
        <v>75</v>
      </c>
      <c r="AA11" s="44">
        <f>I11+R11</f>
        <v>60</v>
      </c>
      <c r="AB11" s="44">
        <f>K11+T11</f>
        <v>90</v>
      </c>
      <c r="AC11" s="44">
        <f>M11+V11</f>
        <v>0</v>
      </c>
      <c r="AD11" s="44">
        <f>SUM(G11:N11,P11:W11)</f>
        <v>425</v>
      </c>
      <c r="AE11" s="15">
        <f>O11+X11</f>
        <v>17</v>
      </c>
    </row>
    <row r="12" spans="1:31" ht="29.25" customHeight="1">
      <c r="A12" s="310">
        <v>1.2</v>
      </c>
      <c r="B12" s="14" t="s">
        <v>20</v>
      </c>
      <c r="C12" s="311" t="str">
        <f>RAZEM!C7</f>
        <v>0912-7LEK-B1,2-H</v>
      </c>
      <c r="D12" s="312">
        <v>2</v>
      </c>
      <c r="E12" s="313" t="s">
        <v>259</v>
      </c>
      <c r="F12" s="313"/>
      <c r="G12" s="54">
        <v>25</v>
      </c>
      <c r="H12" s="54">
        <v>25</v>
      </c>
      <c r="I12" s="54">
        <v>20</v>
      </c>
      <c r="J12" s="54">
        <v>40</v>
      </c>
      <c r="K12" s="54">
        <v>15</v>
      </c>
      <c r="L12" s="54"/>
      <c r="M12" s="54"/>
      <c r="N12" s="54"/>
      <c r="O12" s="314">
        <v>5</v>
      </c>
      <c r="P12" s="55">
        <v>10</v>
      </c>
      <c r="Q12" s="55">
        <v>40</v>
      </c>
      <c r="R12" s="55">
        <v>15</v>
      </c>
      <c r="S12" s="55">
        <v>20</v>
      </c>
      <c r="T12" s="55">
        <v>15</v>
      </c>
      <c r="U12" s="55"/>
      <c r="V12" s="55"/>
      <c r="W12" s="55"/>
      <c r="X12" s="55">
        <v>4</v>
      </c>
      <c r="Y12" s="44">
        <f>SUM(Z12:AC12)</f>
        <v>100</v>
      </c>
      <c r="Z12" s="44">
        <f>G12+P12</f>
        <v>35</v>
      </c>
      <c r="AA12" s="44">
        <f>I12+R12</f>
        <v>35</v>
      </c>
      <c r="AB12" s="44">
        <f>K12+T12</f>
        <v>30</v>
      </c>
      <c r="AC12" s="44">
        <f>M12+V12</f>
        <v>0</v>
      </c>
      <c r="AD12" s="44">
        <f>SUM(G12:N12,P12:W12)</f>
        <v>225</v>
      </c>
      <c r="AE12" s="15">
        <f>O12+X12</f>
        <v>9</v>
      </c>
    </row>
    <row r="13" spans="1:31">
      <c r="A13" s="580" t="s">
        <v>9</v>
      </c>
      <c r="B13" s="581"/>
      <c r="C13" s="581"/>
      <c r="D13" s="581"/>
      <c r="E13" s="581"/>
      <c r="F13" s="582"/>
      <c r="G13" s="315">
        <f>SUM(G11:G12)</f>
        <v>65</v>
      </c>
      <c r="H13" s="315">
        <f t="shared" ref="H13:AE13" si="0">SUM(H11:H12)</f>
        <v>60</v>
      </c>
      <c r="I13" s="315">
        <f t="shared" si="0"/>
        <v>50</v>
      </c>
      <c r="J13" s="315">
        <f t="shared" si="0"/>
        <v>90</v>
      </c>
      <c r="K13" s="315">
        <f t="shared" si="0"/>
        <v>60</v>
      </c>
      <c r="L13" s="315">
        <f t="shared" si="0"/>
        <v>0</v>
      </c>
      <c r="M13" s="315">
        <f t="shared" si="0"/>
        <v>0</v>
      </c>
      <c r="N13" s="315">
        <f t="shared" si="0"/>
        <v>0</v>
      </c>
      <c r="O13" s="315">
        <f>SUM(O11:O12)</f>
        <v>13</v>
      </c>
      <c r="P13" s="315">
        <f t="shared" si="0"/>
        <v>45</v>
      </c>
      <c r="Q13" s="315">
        <f t="shared" si="0"/>
        <v>80</v>
      </c>
      <c r="R13" s="315">
        <f t="shared" si="0"/>
        <v>45</v>
      </c>
      <c r="S13" s="315">
        <f t="shared" si="0"/>
        <v>95</v>
      </c>
      <c r="T13" s="315">
        <f t="shared" si="0"/>
        <v>60</v>
      </c>
      <c r="U13" s="315">
        <f t="shared" si="0"/>
        <v>0</v>
      </c>
      <c r="V13" s="315">
        <f t="shared" si="0"/>
        <v>0</v>
      </c>
      <c r="W13" s="315">
        <f t="shared" si="0"/>
        <v>0</v>
      </c>
      <c r="X13" s="315">
        <f t="shared" si="0"/>
        <v>13</v>
      </c>
      <c r="Y13" s="315">
        <f t="shared" si="0"/>
        <v>325</v>
      </c>
      <c r="Z13" s="315">
        <f t="shared" si="0"/>
        <v>110</v>
      </c>
      <c r="AA13" s="315">
        <f t="shared" si="0"/>
        <v>95</v>
      </c>
      <c r="AB13" s="315">
        <f t="shared" si="0"/>
        <v>120</v>
      </c>
      <c r="AC13" s="315">
        <f t="shared" si="0"/>
        <v>0</v>
      </c>
      <c r="AD13" s="315">
        <f t="shared" si="0"/>
        <v>650</v>
      </c>
      <c r="AE13" s="16">
        <f t="shared" si="0"/>
        <v>26</v>
      </c>
    </row>
    <row r="14" spans="1:31" ht="22.5" customHeight="1">
      <c r="A14" s="316" t="s">
        <v>380</v>
      </c>
      <c r="B14" s="317"/>
      <c r="C14" s="318"/>
      <c r="D14" s="317"/>
      <c r="E14" s="317"/>
      <c r="F14" s="317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17"/>
    </row>
    <row r="15" spans="1:31" ht="27" customHeight="1">
      <c r="A15" s="320">
        <v>2.2000000000000002</v>
      </c>
      <c r="B15" s="14" t="s">
        <v>325</v>
      </c>
      <c r="C15" s="311" t="str">
        <f>RAZEM!C11</f>
        <v>0912-7LEK-B2,2-PBK</v>
      </c>
      <c r="D15" s="312">
        <v>2</v>
      </c>
      <c r="E15" s="313">
        <v>2</v>
      </c>
      <c r="F15" s="313"/>
      <c r="G15" s="54"/>
      <c r="H15" s="54"/>
      <c r="I15" s="54"/>
      <c r="J15" s="54"/>
      <c r="K15" s="54"/>
      <c r="L15" s="54"/>
      <c r="M15" s="54"/>
      <c r="N15" s="54"/>
      <c r="O15" s="54"/>
      <c r="P15" s="55">
        <v>35</v>
      </c>
      <c r="Q15" s="55">
        <v>40</v>
      </c>
      <c r="R15" s="55">
        <v>10</v>
      </c>
      <c r="S15" s="55">
        <v>20</v>
      </c>
      <c r="T15" s="55"/>
      <c r="U15" s="55"/>
      <c r="V15" s="55">
        <v>20</v>
      </c>
      <c r="W15" s="55"/>
      <c r="X15" s="55">
        <v>5</v>
      </c>
      <c r="Y15" s="44">
        <f>SUM(Z15:AC15)</f>
        <v>65</v>
      </c>
      <c r="Z15" s="44">
        <f>G15+P15</f>
        <v>35</v>
      </c>
      <c r="AA15" s="44">
        <f>I15+R15</f>
        <v>10</v>
      </c>
      <c r="AB15" s="44">
        <f>K15+T15</f>
        <v>0</v>
      </c>
      <c r="AC15" s="44">
        <f>M15+V15</f>
        <v>20</v>
      </c>
      <c r="AD15" s="44">
        <f>SUM(G15:N15,P15:W15)</f>
        <v>125</v>
      </c>
      <c r="AE15" s="15">
        <f>O15+X15</f>
        <v>5</v>
      </c>
    </row>
    <row r="16" spans="1:31" ht="29.25" customHeight="1">
      <c r="A16" s="320">
        <v>2.2999999999999998</v>
      </c>
      <c r="B16" s="14" t="s">
        <v>37</v>
      </c>
      <c r="C16" s="311" t="str">
        <f>RAZEM!C12</f>
        <v>0912-7LEK-B2,3-C</v>
      </c>
      <c r="D16" s="312">
        <v>1</v>
      </c>
      <c r="E16" s="313">
        <v>1</v>
      </c>
      <c r="F16" s="313"/>
      <c r="G16" s="54">
        <v>25</v>
      </c>
      <c r="H16" s="54">
        <v>55</v>
      </c>
      <c r="I16" s="54"/>
      <c r="J16" s="54"/>
      <c r="K16" s="54"/>
      <c r="L16" s="54"/>
      <c r="M16" s="54">
        <v>20</v>
      </c>
      <c r="N16" s="54"/>
      <c r="O16" s="54">
        <v>4</v>
      </c>
      <c r="P16" s="55"/>
      <c r="Q16" s="55"/>
      <c r="R16" s="55"/>
      <c r="S16" s="55"/>
      <c r="T16" s="55"/>
      <c r="U16" s="55"/>
      <c r="V16" s="55"/>
      <c r="W16" s="55"/>
      <c r="X16" s="55"/>
      <c r="Y16" s="44">
        <f>SUM(Z16:AC16)</f>
        <v>45</v>
      </c>
      <c r="Z16" s="44">
        <f>G16+P16</f>
        <v>25</v>
      </c>
      <c r="AA16" s="44">
        <f>I16+R16</f>
        <v>0</v>
      </c>
      <c r="AB16" s="44">
        <f>K16+T16</f>
        <v>0</v>
      </c>
      <c r="AC16" s="44">
        <f>M16+V16</f>
        <v>20</v>
      </c>
      <c r="AD16" s="44">
        <f>SUM(G16:N16,P16:W16)</f>
        <v>100</v>
      </c>
      <c r="AE16" s="15">
        <f>O16+X16</f>
        <v>4</v>
      </c>
    </row>
    <row r="17" spans="1:31" ht="33.75" customHeight="1">
      <c r="A17" s="320">
        <v>2.6</v>
      </c>
      <c r="B17" s="14" t="s">
        <v>93</v>
      </c>
      <c r="C17" s="311" t="str">
        <f>' razem plan'!C15</f>
        <v>0912-7LEK-B2,6-BzI</v>
      </c>
      <c r="D17" s="312">
        <v>2</v>
      </c>
      <c r="E17" s="313" t="s">
        <v>259</v>
      </c>
      <c r="F17" s="313"/>
      <c r="G17" s="54">
        <v>20</v>
      </c>
      <c r="H17" s="54">
        <v>30</v>
      </c>
      <c r="I17" s="54">
        <v>20</v>
      </c>
      <c r="J17" s="54">
        <v>5</v>
      </c>
      <c r="K17" s="54"/>
      <c r="L17" s="54"/>
      <c r="M17" s="54"/>
      <c r="N17" s="54"/>
      <c r="O17" s="54">
        <v>3</v>
      </c>
      <c r="P17" s="55">
        <v>20</v>
      </c>
      <c r="Q17" s="55">
        <v>30</v>
      </c>
      <c r="R17" s="55">
        <v>15</v>
      </c>
      <c r="S17" s="55">
        <v>10</v>
      </c>
      <c r="T17" s="55"/>
      <c r="U17" s="55"/>
      <c r="V17" s="55"/>
      <c r="W17" s="55"/>
      <c r="X17" s="55">
        <v>3</v>
      </c>
      <c r="Y17" s="44">
        <f>SUM(Z17:AC17)</f>
        <v>75</v>
      </c>
      <c r="Z17" s="44">
        <f>G17+P17</f>
        <v>40</v>
      </c>
      <c r="AA17" s="44">
        <f>I17+R17</f>
        <v>35</v>
      </c>
      <c r="AB17" s="44">
        <f>K17+T17</f>
        <v>0</v>
      </c>
      <c r="AC17" s="44">
        <f>M17+V17</f>
        <v>0</v>
      </c>
      <c r="AD17" s="44">
        <f>SUM(G17:N17,P17:W17)</f>
        <v>150</v>
      </c>
      <c r="AE17" s="15">
        <f>O17+X17</f>
        <v>6</v>
      </c>
    </row>
    <row r="18" spans="1:31" ht="33.75" customHeight="1">
      <c r="A18" s="320">
        <v>2.7</v>
      </c>
      <c r="B18" s="14" t="s">
        <v>91</v>
      </c>
      <c r="C18" s="321" t="str">
        <f>"0912-7LEK-B"&amp;A18&amp;"-"&amp;UPPER(LEFT(B18,1))&amp;"P"</f>
        <v>0912-7LEK-B2,7-PP</v>
      </c>
      <c r="D18" s="312"/>
      <c r="E18" s="313" t="s">
        <v>259</v>
      </c>
      <c r="F18" s="313"/>
      <c r="G18" s="54"/>
      <c r="H18" s="54"/>
      <c r="I18" s="54"/>
      <c r="J18" s="54"/>
      <c r="K18" s="54"/>
      <c r="L18" s="54"/>
      <c r="M18" s="54"/>
      <c r="N18" s="54"/>
      <c r="O18" s="54"/>
      <c r="P18" s="55"/>
      <c r="Q18" s="55"/>
      <c r="R18" s="55">
        <v>20</v>
      </c>
      <c r="S18" s="55">
        <v>35</v>
      </c>
      <c r="T18" s="55">
        <v>20</v>
      </c>
      <c r="U18" s="55"/>
      <c r="V18" s="55"/>
      <c r="W18" s="55"/>
      <c r="X18" s="55">
        <v>3</v>
      </c>
      <c r="Y18" s="44">
        <f>SUM(Z18:AC18)</f>
        <v>40</v>
      </c>
      <c r="Z18" s="44">
        <f>G18+P18</f>
        <v>0</v>
      </c>
      <c r="AA18" s="44">
        <f>I18+R18</f>
        <v>20</v>
      </c>
      <c r="AB18" s="44">
        <f>K18+T18</f>
        <v>20</v>
      </c>
      <c r="AC18" s="44">
        <f>M18+V18</f>
        <v>0</v>
      </c>
      <c r="AD18" s="44">
        <f>SUM(G18:N18,P18:W18)</f>
        <v>75</v>
      </c>
      <c r="AE18" s="15">
        <f>O18+X18</f>
        <v>3</v>
      </c>
    </row>
    <row r="19" spans="1:31" ht="15.75">
      <c r="A19" s="580" t="s">
        <v>9</v>
      </c>
      <c r="B19" s="581"/>
      <c r="C19" s="581"/>
      <c r="D19" s="581"/>
      <c r="E19" s="581"/>
      <c r="F19" s="582"/>
      <c r="G19" s="61">
        <f t="shared" ref="G19:AE19" si="1">SUM(G15:G18)</f>
        <v>45</v>
      </c>
      <c r="H19" s="61">
        <f t="shared" si="1"/>
        <v>85</v>
      </c>
      <c r="I19" s="61">
        <f t="shared" si="1"/>
        <v>20</v>
      </c>
      <c r="J19" s="61">
        <f t="shared" si="1"/>
        <v>5</v>
      </c>
      <c r="K19" s="61">
        <f t="shared" si="1"/>
        <v>0</v>
      </c>
      <c r="L19" s="61">
        <f t="shared" si="1"/>
        <v>0</v>
      </c>
      <c r="M19" s="61">
        <f t="shared" si="1"/>
        <v>20</v>
      </c>
      <c r="N19" s="61">
        <f t="shared" si="1"/>
        <v>0</v>
      </c>
      <c r="O19" s="61">
        <f t="shared" si="1"/>
        <v>7</v>
      </c>
      <c r="P19" s="61">
        <f t="shared" si="1"/>
        <v>55</v>
      </c>
      <c r="Q19" s="61">
        <f t="shared" si="1"/>
        <v>70</v>
      </c>
      <c r="R19" s="61">
        <f t="shared" si="1"/>
        <v>45</v>
      </c>
      <c r="S19" s="61">
        <f t="shared" si="1"/>
        <v>65</v>
      </c>
      <c r="T19" s="61">
        <f t="shared" si="1"/>
        <v>20</v>
      </c>
      <c r="U19" s="61">
        <f t="shared" si="1"/>
        <v>0</v>
      </c>
      <c r="V19" s="61">
        <f t="shared" si="1"/>
        <v>20</v>
      </c>
      <c r="W19" s="61">
        <f t="shared" si="1"/>
        <v>0</v>
      </c>
      <c r="X19" s="61">
        <f t="shared" si="1"/>
        <v>11</v>
      </c>
      <c r="Y19" s="61">
        <f t="shared" si="1"/>
        <v>225</v>
      </c>
      <c r="Z19" s="61">
        <f t="shared" si="1"/>
        <v>100</v>
      </c>
      <c r="AA19" s="61">
        <f t="shared" si="1"/>
        <v>65</v>
      </c>
      <c r="AB19" s="61">
        <f t="shared" si="1"/>
        <v>20</v>
      </c>
      <c r="AC19" s="61">
        <f t="shared" si="1"/>
        <v>40</v>
      </c>
      <c r="AD19" s="61">
        <f t="shared" si="1"/>
        <v>450</v>
      </c>
      <c r="AE19" s="18">
        <f t="shared" si="1"/>
        <v>18</v>
      </c>
    </row>
    <row r="20" spans="1:31" ht="19.5" customHeight="1">
      <c r="A20" s="316" t="s">
        <v>381</v>
      </c>
      <c r="B20" s="317"/>
      <c r="C20" s="318"/>
      <c r="D20" s="317"/>
      <c r="E20" s="317"/>
      <c r="F20" s="317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17"/>
    </row>
    <row r="21" spans="1:31" ht="30.75" customHeight="1">
      <c r="A21" s="53">
        <v>4.0999999999999996</v>
      </c>
      <c r="B21" s="14" t="s">
        <v>47</v>
      </c>
      <c r="C21" s="311" t="str">
        <f>RAZEM!C28</f>
        <v>0912-7LEK-B4,1-S</v>
      </c>
      <c r="D21" s="312"/>
      <c r="E21" s="313">
        <v>1</v>
      </c>
      <c r="F21" s="313"/>
      <c r="G21" s="54"/>
      <c r="H21" s="54"/>
      <c r="I21" s="54"/>
      <c r="J21" s="54"/>
      <c r="K21" s="54"/>
      <c r="L21" s="54"/>
      <c r="M21" s="54"/>
      <c r="N21" s="54"/>
      <c r="O21" s="54"/>
      <c r="P21" s="55">
        <v>15</v>
      </c>
      <c r="Q21" s="55">
        <v>10</v>
      </c>
      <c r="R21" s="55"/>
      <c r="S21" s="55"/>
      <c r="T21" s="55"/>
      <c r="U21" s="55"/>
      <c r="V21" s="55"/>
      <c r="W21" s="55"/>
      <c r="X21" s="55">
        <v>1</v>
      </c>
      <c r="Y21" s="44">
        <f t="shared" ref="Y21:Y26" si="2">SUM(Z21:AC21)</f>
        <v>15</v>
      </c>
      <c r="Z21" s="44">
        <f t="shared" ref="Z21:Z26" si="3">G21+P21</f>
        <v>15</v>
      </c>
      <c r="AA21" s="44">
        <f t="shared" ref="AA21:AA26" si="4">I21+R21</f>
        <v>0</v>
      </c>
      <c r="AB21" s="44">
        <f t="shared" ref="AB21:AB26" si="5">K21+T21</f>
        <v>0</v>
      </c>
      <c r="AC21" s="44">
        <f t="shared" ref="AC21:AC26" si="6">M21+V21</f>
        <v>0</v>
      </c>
      <c r="AD21" s="44">
        <f t="shared" ref="AD21:AD26" si="7">SUM(G21:N21,P21:W21)</f>
        <v>25</v>
      </c>
      <c r="AE21" s="15">
        <f t="shared" ref="AE21:AE26" si="8">O21+X21</f>
        <v>1</v>
      </c>
    </row>
    <row r="22" spans="1:31" ht="24.75" customHeight="1">
      <c r="A22" s="310">
        <v>4.2</v>
      </c>
      <c r="B22" s="14" t="s">
        <v>48</v>
      </c>
      <c r="C22" s="311" t="str">
        <f>RAZEM!C29</f>
        <v>0912-7LEK-B4,2-P</v>
      </c>
      <c r="D22" s="312"/>
      <c r="E22" s="313">
        <v>2</v>
      </c>
      <c r="F22" s="313"/>
      <c r="G22" s="54">
        <v>15</v>
      </c>
      <c r="H22" s="54">
        <v>10</v>
      </c>
      <c r="I22" s="54"/>
      <c r="J22" s="54"/>
      <c r="K22" s="54"/>
      <c r="L22" s="54"/>
      <c r="M22" s="54"/>
      <c r="N22" s="54"/>
      <c r="O22" s="54">
        <v>1</v>
      </c>
      <c r="P22" s="55"/>
      <c r="Q22" s="55"/>
      <c r="R22" s="55"/>
      <c r="S22" s="55"/>
      <c r="T22" s="55"/>
      <c r="U22" s="55"/>
      <c r="V22" s="55"/>
      <c r="W22" s="55"/>
      <c r="X22" s="55"/>
      <c r="Y22" s="44">
        <f t="shared" si="2"/>
        <v>15</v>
      </c>
      <c r="Z22" s="44">
        <f t="shared" si="3"/>
        <v>15</v>
      </c>
      <c r="AA22" s="44">
        <f t="shared" si="4"/>
        <v>0</v>
      </c>
      <c r="AB22" s="44">
        <f t="shared" si="5"/>
        <v>0</v>
      </c>
      <c r="AC22" s="44">
        <f t="shared" si="6"/>
        <v>0</v>
      </c>
      <c r="AD22" s="44">
        <f t="shared" si="7"/>
        <v>25</v>
      </c>
      <c r="AE22" s="15">
        <f t="shared" si="8"/>
        <v>1</v>
      </c>
    </row>
    <row r="23" spans="1:31" ht="24.75" customHeight="1">
      <c r="A23" s="53">
        <v>4.3</v>
      </c>
      <c r="B23" s="14" t="s">
        <v>49</v>
      </c>
      <c r="C23" s="311" t="str">
        <f>RAZEM!C30</f>
        <v>0912-7LEK-B4,3-E</v>
      </c>
      <c r="D23" s="312"/>
      <c r="E23" s="313">
        <v>1</v>
      </c>
      <c r="F23" s="313"/>
      <c r="G23" s="54">
        <v>15</v>
      </c>
      <c r="H23" s="54">
        <v>10</v>
      </c>
      <c r="I23" s="54"/>
      <c r="J23" s="54"/>
      <c r="K23" s="54"/>
      <c r="L23" s="54"/>
      <c r="M23" s="54"/>
      <c r="N23" s="54"/>
      <c r="O23" s="54">
        <v>1</v>
      </c>
      <c r="P23" s="55"/>
      <c r="Q23" s="55"/>
      <c r="R23" s="55"/>
      <c r="S23" s="55"/>
      <c r="T23" s="55"/>
      <c r="U23" s="55"/>
      <c r="V23" s="55"/>
      <c r="W23" s="55"/>
      <c r="X23" s="55"/>
      <c r="Y23" s="44">
        <f t="shared" si="2"/>
        <v>15</v>
      </c>
      <c r="Z23" s="44">
        <f t="shared" si="3"/>
        <v>15</v>
      </c>
      <c r="AA23" s="44">
        <f t="shared" si="4"/>
        <v>0</v>
      </c>
      <c r="AB23" s="44">
        <f t="shared" si="5"/>
        <v>0</v>
      </c>
      <c r="AC23" s="44">
        <f t="shared" si="6"/>
        <v>0</v>
      </c>
      <c r="AD23" s="44">
        <f t="shared" si="7"/>
        <v>25</v>
      </c>
      <c r="AE23" s="15">
        <f t="shared" si="8"/>
        <v>1</v>
      </c>
    </row>
    <row r="24" spans="1:31" ht="24.75" customHeight="1">
      <c r="A24" s="310">
        <v>4.4000000000000004</v>
      </c>
      <c r="B24" s="14" t="s">
        <v>92</v>
      </c>
      <c r="C24" s="311" t="str">
        <f>RAZEM!C31</f>
        <v>0912-7LEK-B4,4-E</v>
      </c>
      <c r="D24" s="312"/>
      <c r="E24" s="313">
        <v>1</v>
      </c>
      <c r="F24" s="313"/>
      <c r="G24" s="54">
        <v>15</v>
      </c>
      <c r="H24" s="54">
        <v>10</v>
      </c>
      <c r="I24" s="54"/>
      <c r="J24" s="54"/>
      <c r="K24" s="54"/>
      <c r="L24" s="54"/>
      <c r="M24" s="54"/>
      <c r="N24" s="54"/>
      <c r="O24" s="54">
        <v>1</v>
      </c>
      <c r="P24" s="55"/>
      <c r="Q24" s="55"/>
      <c r="R24" s="55"/>
      <c r="S24" s="55"/>
      <c r="T24" s="55"/>
      <c r="U24" s="55"/>
      <c r="V24" s="55"/>
      <c r="W24" s="55"/>
      <c r="X24" s="55"/>
      <c r="Y24" s="44">
        <f t="shared" si="2"/>
        <v>15</v>
      </c>
      <c r="Z24" s="44">
        <f t="shared" si="3"/>
        <v>15</v>
      </c>
      <c r="AA24" s="44">
        <f t="shared" si="4"/>
        <v>0</v>
      </c>
      <c r="AB24" s="44">
        <f t="shared" si="5"/>
        <v>0</v>
      </c>
      <c r="AC24" s="44">
        <f t="shared" si="6"/>
        <v>0</v>
      </c>
      <c r="AD24" s="44">
        <f t="shared" si="7"/>
        <v>25</v>
      </c>
      <c r="AE24" s="15">
        <f t="shared" si="8"/>
        <v>1</v>
      </c>
    </row>
    <row r="25" spans="1:31" ht="24.75" customHeight="1">
      <c r="A25" s="310">
        <v>4.5</v>
      </c>
      <c r="B25" s="14" t="s">
        <v>50</v>
      </c>
      <c r="C25" s="311" t="str">
        <f>RAZEM!C32</f>
        <v>0912-7LEK-B4,5-H</v>
      </c>
      <c r="D25" s="312"/>
      <c r="E25" s="313">
        <v>1</v>
      </c>
      <c r="F25" s="313"/>
      <c r="G25" s="54">
        <v>30</v>
      </c>
      <c r="H25" s="54">
        <v>20</v>
      </c>
      <c r="I25" s="54"/>
      <c r="J25" s="54"/>
      <c r="K25" s="54"/>
      <c r="L25" s="54"/>
      <c r="M25" s="54"/>
      <c r="N25" s="54"/>
      <c r="O25" s="54">
        <v>2</v>
      </c>
      <c r="P25" s="55"/>
      <c r="Q25" s="55"/>
      <c r="R25" s="55"/>
      <c r="S25" s="55"/>
      <c r="T25" s="55"/>
      <c r="U25" s="55"/>
      <c r="V25" s="55"/>
      <c r="W25" s="55"/>
      <c r="X25" s="55"/>
      <c r="Y25" s="44">
        <f t="shared" si="2"/>
        <v>30</v>
      </c>
      <c r="Z25" s="44">
        <f t="shared" si="3"/>
        <v>30</v>
      </c>
      <c r="AA25" s="44">
        <f t="shared" si="4"/>
        <v>0</v>
      </c>
      <c r="AB25" s="44">
        <f t="shared" si="5"/>
        <v>0</v>
      </c>
      <c r="AC25" s="44">
        <f t="shared" si="6"/>
        <v>0</v>
      </c>
      <c r="AD25" s="44">
        <f t="shared" si="7"/>
        <v>50</v>
      </c>
      <c r="AE25" s="15">
        <f t="shared" si="8"/>
        <v>2</v>
      </c>
    </row>
    <row r="26" spans="1:31" ht="24" customHeight="1">
      <c r="A26" s="53">
        <v>4.5999999999999996</v>
      </c>
      <c r="B26" s="20" t="s">
        <v>17</v>
      </c>
      <c r="C26" s="311" t="s">
        <v>306</v>
      </c>
      <c r="D26" s="312">
        <v>4</v>
      </c>
      <c r="E26" s="322" t="s">
        <v>230</v>
      </c>
      <c r="F26" s="313"/>
      <c r="G26" s="54"/>
      <c r="H26" s="54"/>
      <c r="I26" s="54">
        <v>30</v>
      </c>
      <c r="J26" s="54">
        <v>15</v>
      </c>
      <c r="K26" s="54"/>
      <c r="L26" s="54"/>
      <c r="M26" s="54"/>
      <c r="N26" s="54"/>
      <c r="O26" s="54">
        <v>1.5</v>
      </c>
      <c r="P26" s="55"/>
      <c r="Q26" s="55"/>
      <c r="R26" s="55">
        <v>30</v>
      </c>
      <c r="S26" s="55">
        <v>15</v>
      </c>
      <c r="T26" s="55"/>
      <c r="U26" s="55"/>
      <c r="V26" s="55"/>
      <c r="W26" s="55"/>
      <c r="X26" s="55">
        <v>1.5</v>
      </c>
      <c r="Y26" s="44">
        <f t="shared" si="2"/>
        <v>60</v>
      </c>
      <c r="Z26" s="44">
        <f t="shared" si="3"/>
        <v>0</v>
      </c>
      <c r="AA26" s="44">
        <f t="shared" si="4"/>
        <v>60</v>
      </c>
      <c r="AB26" s="44">
        <f t="shared" si="5"/>
        <v>0</v>
      </c>
      <c r="AC26" s="44">
        <f t="shared" si="6"/>
        <v>0</v>
      </c>
      <c r="AD26" s="44">
        <f t="shared" si="7"/>
        <v>90</v>
      </c>
      <c r="AE26" s="15">
        <f t="shared" si="8"/>
        <v>3</v>
      </c>
    </row>
    <row r="27" spans="1:31" ht="15.75">
      <c r="A27" s="580" t="s">
        <v>9</v>
      </c>
      <c r="B27" s="581"/>
      <c r="C27" s="581"/>
      <c r="D27" s="581"/>
      <c r="E27" s="581"/>
      <c r="F27" s="582"/>
      <c r="G27" s="61">
        <f t="shared" ref="G27:AE27" si="9">SUM(G21:G26)</f>
        <v>75</v>
      </c>
      <c r="H27" s="61">
        <f t="shared" si="9"/>
        <v>50</v>
      </c>
      <c r="I27" s="61">
        <f t="shared" si="9"/>
        <v>30</v>
      </c>
      <c r="J27" s="61">
        <f t="shared" si="9"/>
        <v>15</v>
      </c>
      <c r="K27" s="61">
        <f t="shared" si="9"/>
        <v>0</v>
      </c>
      <c r="L27" s="61">
        <f t="shared" si="9"/>
        <v>0</v>
      </c>
      <c r="M27" s="61">
        <f t="shared" si="9"/>
        <v>0</v>
      </c>
      <c r="N27" s="61">
        <f t="shared" si="9"/>
        <v>0</v>
      </c>
      <c r="O27" s="61">
        <f t="shared" si="9"/>
        <v>6.5</v>
      </c>
      <c r="P27" s="61">
        <f t="shared" si="9"/>
        <v>15</v>
      </c>
      <c r="Q27" s="61">
        <f t="shared" si="9"/>
        <v>10</v>
      </c>
      <c r="R27" s="61">
        <f t="shared" si="9"/>
        <v>30</v>
      </c>
      <c r="S27" s="61">
        <f t="shared" si="9"/>
        <v>15</v>
      </c>
      <c r="T27" s="61">
        <f t="shared" si="9"/>
        <v>0</v>
      </c>
      <c r="U27" s="61">
        <f t="shared" si="9"/>
        <v>0</v>
      </c>
      <c r="V27" s="61">
        <f t="shared" si="9"/>
        <v>0</v>
      </c>
      <c r="W27" s="61">
        <f t="shared" si="9"/>
        <v>0</v>
      </c>
      <c r="X27" s="61">
        <f t="shared" si="9"/>
        <v>2.5</v>
      </c>
      <c r="Y27" s="61">
        <f t="shared" si="9"/>
        <v>150</v>
      </c>
      <c r="Z27" s="61">
        <f t="shared" si="9"/>
        <v>90</v>
      </c>
      <c r="AA27" s="61">
        <f t="shared" si="9"/>
        <v>60</v>
      </c>
      <c r="AB27" s="61">
        <f t="shared" si="9"/>
        <v>0</v>
      </c>
      <c r="AC27" s="61">
        <f t="shared" si="9"/>
        <v>0</v>
      </c>
      <c r="AD27" s="61">
        <f t="shared" si="9"/>
        <v>240</v>
      </c>
      <c r="AE27" s="18">
        <f t="shared" si="9"/>
        <v>9</v>
      </c>
    </row>
    <row r="28" spans="1:31" ht="20.25" customHeight="1">
      <c r="A28" s="316" t="s">
        <v>384</v>
      </c>
      <c r="B28" s="317"/>
      <c r="C28" s="318"/>
      <c r="D28" s="317"/>
      <c r="E28" s="317"/>
      <c r="F28" s="317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17"/>
    </row>
    <row r="29" spans="1:31" ht="28.5" customHeight="1">
      <c r="A29" s="53">
        <v>9.1</v>
      </c>
      <c r="B29" s="323" t="s">
        <v>83</v>
      </c>
      <c r="C29" s="311" t="str">
        <f>"0912-7LEK-C"&amp;A29&amp;"-"&amp;UPPER(LEFT(B29,1))</f>
        <v>0912-7LEK-C9,1-O</v>
      </c>
      <c r="D29" s="312"/>
      <c r="E29" s="313">
        <v>2</v>
      </c>
      <c r="F29" s="313"/>
      <c r="G29" s="54"/>
      <c r="H29" s="54"/>
      <c r="I29" s="54"/>
      <c r="J29" s="54"/>
      <c r="K29" s="54"/>
      <c r="L29" s="54"/>
      <c r="M29" s="54"/>
      <c r="N29" s="54"/>
      <c r="O29" s="54"/>
      <c r="P29" s="55"/>
      <c r="Q29" s="55"/>
      <c r="R29" s="55"/>
      <c r="S29" s="55"/>
      <c r="T29" s="55">
        <v>120</v>
      </c>
      <c r="U29" s="55"/>
      <c r="V29" s="55"/>
      <c r="W29" s="55"/>
      <c r="X29" s="55">
        <v>4</v>
      </c>
      <c r="Y29" s="44">
        <f>SUM(Z29:AC29)</f>
        <v>120</v>
      </c>
      <c r="Z29" s="44">
        <f>G29+P29</f>
        <v>0</v>
      </c>
      <c r="AA29" s="44">
        <f>I29+R29</f>
        <v>0</v>
      </c>
      <c r="AB29" s="44">
        <f>K29+T29</f>
        <v>120</v>
      </c>
      <c r="AC29" s="44">
        <f>M29+V29</f>
        <v>0</v>
      </c>
      <c r="AD29" s="44">
        <f>SUM(G29:N29,P29:W29)</f>
        <v>120</v>
      </c>
      <c r="AE29" s="15">
        <f>O29+X29</f>
        <v>4</v>
      </c>
    </row>
    <row r="30" spans="1:31" ht="15.75">
      <c r="A30" s="580" t="s">
        <v>9</v>
      </c>
      <c r="B30" s="581"/>
      <c r="C30" s="581"/>
      <c r="D30" s="581"/>
      <c r="E30" s="581"/>
      <c r="F30" s="582"/>
      <c r="G30" s="61">
        <f t="shared" ref="G30:X30" si="10">SUM(G29:G29)</f>
        <v>0</v>
      </c>
      <c r="H30" s="61">
        <f t="shared" si="10"/>
        <v>0</v>
      </c>
      <c r="I30" s="61">
        <f t="shared" si="10"/>
        <v>0</v>
      </c>
      <c r="J30" s="61">
        <f t="shared" si="10"/>
        <v>0</v>
      </c>
      <c r="K30" s="61">
        <f t="shared" si="10"/>
        <v>0</v>
      </c>
      <c r="L30" s="61">
        <f t="shared" si="10"/>
        <v>0</v>
      </c>
      <c r="M30" s="61">
        <f t="shared" si="10"/>
        <v>0</v>
      </c>
      <c r="N30" s="61">
        <f t="shared" si="10"/>
        <v>0</v>
      </c>
      <c r="O30" s="61">
        <f t="shared" si="10"/>
        <v>0</v>
      </c>
      <c r="P30" s="61">
        <f t="shared" si="10"/>
        <v>0</v>
      </c>
      <c r="Q30" s="61">
        <f t="shared" si="10"/>
        <v>0</v>
      </c>
      <c r="R30" s="61">
        <f t="shared" si="10"/>
        <v>0</v>
      </c>
      <c r="S30" s="61">
        <f t="shared" si="10"/>
        <v>0</v>
      </c>
      <c r="T30" s="61">
        <f t="shared" si="10"/>
        <v>120</v>
      </c>
      <c r="U30" s="61">
        <f t="shared" si="10"/>
        <v>0</v>
      </c>
      <c r="V30" s="61">
        <f t="shared" si="10"/>
        <v>0</v>
      </c>
      <c r="W30" s="61">
        <f t="shared" si="10"/>
        <v>0</v>
      </c>
      <c r="X30" s="61">
        <f t="shared" si="10"/>
        <v>4</v>
      </c>
      <c r="Y30" s="61">
        <f t="shared" ref="Y30:AE30" si="11">SUM(Y29)</f>
        <v>120</v>
      </c>
      <c r="Z30" s="61">
        <f t="shared" si="11"/>
        <v>0</v>
      </c>
      <c r="AA30" s="61">
        <f t="shared" si="11"/>
        <v>0</v>
      </c>
      <c r="AB30" s="61">
        <f t="shared" si="11"/>
        <v>120</v>
      </c>
      <c r="AC30" s="61">
        <f t="shared" si="11"/>
        <v>0</v>
      </c>
      <c r="AD30" s="61">
        <f t="shared" si="11"/>
        <v>120</v>
      </c>
      <c r="AE30" s="18">
        <f t="shared" si="11"/>
        <v>4</v>
      </c>
    </row>
    <row r="31" spans="1:31" ht="20.25" customHeight="1">
      <c r="A31" s="316" t="s">
        <v>382</v>
      </c>
      <c r="B31" s="317"/>
      <c r="C31" s="318"/>
      <c r="D31" s="317"/>
      <c r="E31" s="317"/>
      <c r="F31" s="317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17"/>
    </row>
    <row r="32" spans="1:31" ht="23.25" customHeight="1">
      <c r="A32" s="53">
        <v>10.199999999999999</v>
      </c>
      <c r="B32" s="20" t="s">
        <v>19</v>
      </c>
      <c r="C32" s="311" t="s">
        <v>307</v>
      </c>
      <c r="D32" s="313"/>
      <c r="E32" s="313">
        <v>1</v>
      </c>
      <c r="F32" s="313"/>
      <c r="G32" s="54"/>
      <c r="H32" s="54"/>
      <c r="I32" s="54">
        <v>30</v>
      </c>
      <c r="J32" s="54"/>
      <c r="K32" s="54"/>
      <c r="L32" s="54"/>
      <c r="M32" s="54"/>
      <c r="N32" s="54"/>
      <c r="O32" s="54">
        <v>1</v>
      </c>
      <c r="P32" s="55"/>
      <c r="Q32" s="55"/>
      <c r="R32" s="55"/>
      <c r="S32" s="55"/>
      <c r="T32" s="55"/>
      <c r="U32" s="55"/>
      <c r="V32" s="55"/>
      <c r="W32" s="55"/>
      <c r="X32" s="55"/>
      <c r="Y32" s="44">
        <f>SUM(Z32:AC32)</f>
        <v>30</v>
      </c>
      <c r="Z32" s="44">
        <f>G32+P32</f>
        <v>0</v>
      </c>
      <c r="AA32" s="44">
        <f>I32+R32</f>
        <v>30</v>
      </c>
      <c r="AB32" s="44">
        <f>K32+T32</f>
        <v>0</v>
      </c>
      <c r="AC32" s="44">
        <f>M32+V32</f>
        <v>0</v>
      </c>
      <c r="AD32" s="44">
        <f>SUM(G32:N32,P32:W32)</f>
        <v>30</v>
      </c>
      <c r="AE32" s="15">
        <f>O32+X32</f>
        <v>1</v>
      </c>
    </row>
    <row r="33" spans="1:34" ht="24" customHeight="1">
      <c r="A33" s="53">
        <v>10.3</v>
      </c>
      <c r="B33" s="20" t="s">
        <v>397</v>
      </c>
      <c r="C33" s="311" t="s">
        <v>398</v>
      </c>
      <c r="D33" s="313"/>
      <c r="E33" s="313"/>
      <c r="F33" s="313">
        <v>1</v>
      </c>
      <c r="G33" s="54"/>
      <c r="H33" s="54"/>
      <c r="I33" s="54">
        <v>2</v>
      </c>
      <c r="J33" s="54"/>
      <c r="K33" s="54"/>
      <c r="L33" s="54"/>
      <c r="M33" s="54"/>
      <c r="N33" s="54"/>
      <c r="O33" s="54">
        <v>0</v>
      </c>
      <c r="P33" s="55"/>
      <c r="Q33" s="55"/>
      <c r="R33" s="55"/>
      <c r="S33" s="55"/>
      <c r="T33" s="55"/>
      <c r="U33" s="55"/>
      <c r="V33" s="55"/>
      <c r="W33" s="55"/>
      <c r="X33" s="55"/>
      <c r="Y33" s="44">
        <f>SUM(Z33:AC33)</f>
        <v>2</v>
      </c>
      <c r="Z33" s="44">
        <f>SUM(G33,P33)</f>
        <v>0</v>
      </c>
      <c r="AA33" s="44">
        <f>SUM(I33,R33)</f>
        <v>2</v>
      </c>
      <c r="AB33" s="44">
        <f>SUM(K33,T33)</f>
        <v>0</v>
      </c>
      <c r="AC33" s="44">
        <f>SUM(M33,V33)</f>
        <v>0</v>
      </c>
      <c r="AD33" s="44">
        <f>SUM(G33:N33,P33:W33)</f>
        <v>2</v>
      </c>
      <c r="AE33" s="15">
        <f>SUM(O33,X33)</f>
        <v>0</v>
      </c>
    </row>
    <row r="34" spans="1:34" ht="24" customHeight="1">
      <c r="A34" s="53">
        <v>10.4</v>
      </c>
      <c r="B34" s="20" t="s">
        <v>30</v>
      </c>
      <c r="C34" s="311" t="s">
        <v>399</v>
      </c>
      <c r="D34" s="313"/>
      <c r="E34" s="313"/>
      <c r="F34" s="313">
        <v>1</v>
      </c>
      <c r="G34" s="54">
        <v>5</v>
      </c>
      <c r="H34" s="54"/>
      <c r="I34" s="54"/>
      <c r="J34" s="54"/>
      <c r="K34" s="54"/>
      <c r="L34" s="54"/>
      <c r="M34" s="54"/>
      <c r="N34" s="54"/>
      <c r="O34" s="54">
        <v>0</v>
      </c>
      <c r="P34" s="55"/>
      <c r="Q34" s="55"/>
      <c r="R34" s="55"/>
      <c r="S34" s="55"/>
      <c r="T34" s="55"/>
      <c r="U34" s="55"/>
      <c r="V34" s="55"/>
      <c r="W34" s="55"/>
      <c r="X34" s="55"/>
      <c r="Y34" s="44">
        <f>SUM(Z34:AC34)</f>
        <v>5</v>
      </c>
      <c r="Z34" s="44">
        <f>SUM(G34,P34)</f>
        <v>5</v>
      </c>
      <c r="AA34" s="44">
        <f>SUM(I34,R34)</f>
        <v>0</v>
      </c>
      <c r="AB34" s="44">
        <f>SUM(K34,T34)</f>
        <v>0</v>
      </c>
      <c r="AC34" s="44">
        <f>SUM(M34,V34)</f>
        <v>0</v>
      </c>
      <c r="AD34" s="44">
        <f>SUM(G34:N34,P34:W34)</f>
        <v>5</v>
      </c>
      <c r="AE34" s="15">
        <f>SUM(O34,X34)</f>
        <v>0</v>
      </c>
    </row>
    <row r="35" spans="1:34" ht="24" customHeight="1">
      <c r="A35" s="53">
        <v>10.5</v>
      </c>
      <c r="B35" s="20" t="s">
        <v>108</v>
      </c>
      <c r="C35" s="311" t="s">
        <v>400</v>
      </c>
      <c r="D35" s="313"/>
      <c r="E35" s="313"/>
      <c r="F35" s="324" t="s">
        <v>332</v>
      </c>
      <c r="G35" s="54"/>
      <c r="H35" s="54"/>
      <c r="I35" s="54">
        <v>30</v>
      </c>
      <c r="J35" s="54"/>
      <c r="K35" s="54">
        <v>0</v>
      </c>
      <c r="L35" s="54"/>
      <c r="M35" s="54"/>
      <c r="N35" s="54"/>
      <c r="O35" s="54">
        <v>0</v>
      </c>
      <c r="P35" s="55"/>
      <c r="Q35" s="55"/>
      <c r="R35" s="55">
        <v>30</v>
      </c>
      <c r="S35" s="55"/>
      <c r="T35" s="55"/>
      <c r="U35" s="55"/>
      <c r="V35" s="55"/>
      <c r="W35" s="55"/>
      <c r="X35" s="55">
        <v>0</v>
      </c>
      <c r="Y35" s="44">
        <f>SUM(Z35:AC35)</f>
        <v>60</v>
      </c>
      <c r="Z35" s="44">
        <f>SUM(G35,P35)</f>
        <v>0</v>
      </c>
      <c r="AA35" s="44">
        <f>SUM(I35,R35)</f>
        <v>60</v>
      </c>
      <c r="AB35" s="44">
        <f>SUM(K35,T35)</f>
        <v>0</v>
      </c>
      <c r="AC35" s="44">
        <f>SUM(M35,V35)</f>
        <v>0</v>
      </c>
      <c r="AD35" s="44">
        <f>SUM(G35:N35,P35:W35)</f>
        <v>60</v>
      </c>
      <c r="AE35" s="15">
        <f>SUM(O35,X35)</f>
        <v>0</v>
      </c>
    </row>
    <row r="36" spans="1:34" ht="15.75">
      <c r="A36" s="580" t="s">
        <v>9</v>
      </c>
      <c r="B36" s="581"/>
      <c r="C36" s="581"/>
      <c r="D36" s="581"/>
      <c r="E36" s="581"/>
      <c r="F36" s="582"/>
      <c r="G36" s="61">
        <f t="shared" ref="G36:AE36" si="12">SUM(G32:G35)</f>
        <v>5</v>
      </c>
      <c r="H36" s="61">
        <f t="shared" si="12"/>
        <v>0</v>
      </c>
      <c r="I36" s="61">
        <f t="shared" si="12"/>
        <v>62</v>
      </c>
      <c r="J36" s="61">
        <f t="shared" si="12"/>
        <v>0</v>
      </c>
      <c r="K36" s="61">
        <f t="shared" si="12"/>
        <v>0</v>
      </c>
      <c r="L36" s="61">
        <f t="shared" si="12"/>
        <v>0</v>
      </c>
      <c r="M36" s="61">
        <f t="shared" si="12"/>
        <v>0</v>
      </c>
      <c r="N36" s="61">
        <f t="shared" si="12"/>
        <v>0</v>
      </c>
      <c r="O36" s="61">
        <f t="shared" si="12"/>
        <v>1</v>
      </c>
      <c r="P36" s="61">
        <f t="shared" si="12"/>
        <v>0</v>
      </c>
      <c r="Q36" s="61">
        <f t="shared" si="12"/>
        <v>0</v>
      </c>
      <c r="R36" s="61">
        <f t="shared" si="12"/>
        <v>30</v>
      </c>
      <c r="S36" s="61">
        <f t="shared" si="12"/>
        <v>0</v>
      </c>
      <c r="T36" s="61">
        <f t="shared" si="12"/>
        <v>0</v>
      </c>
      <c r="U36" s="61">
        <f t="shared" si="12"/>
        <v>0</v>
      </c>
      <c r="V36" s="61">
        <f t="shared" si="12"/>
        <v>0</v>
      </c>
      <c r="W36" s="61">
        <f t="shared" si="12"/>
        <v>0</v>
      </c>
      <c r="X36" s="61">
        <f t="shared" si="12"/>
        <v>0</v>
      </c>
      <c r="Y36" s="61">
        <f t="shared" si="12"/>
        <v>97</v>
      </c>
      <c r="Z36" s="61">
        <f t="shared" si="12"/>
        <v>5</v>
      </c>
      <c r="AA36" s="61">
        <f t="shared" si="12"/>
        <v>92</v>
      </c>
      <c r="AB36" s="61">
        <f t="shared" si="12"/>
        <v>0</v>
      </c>
      <c r="AC36" s="61">
        <f t="shared" si="12"/>
        <v>0</v>
      </c>
      <c r="AD36" s="61">
        <f t="shared" si="12"/>
        <v>97</v>
      </c>
      <c r="AE36" s="18">
        <f t="shared" si="12"/>
        <v>1</v>
      </c>
    </row>
    <row r="37" spans="1:34" ht="22.5" customHeight="1">
      <c r="A37" s="316" t="s">
        <v>383</v>
      </c>
      <c r="B37" s="317"/>
      <c r="C37" s="318"/>
      <c r="D37" s="317"/>
      <c r="E37" s="317"/>
      <c r="F37" s="317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17"/>
    </row>
    <row r="38" spans="1:34" ht="23.25" customHeight="1">
      <c r="A38" s="325">
        <v>1</v>
      </c>
      <c r="B38" s="583" t="s">
        <v>115</v>
      </c>
      <c r="C38" s="584"/>
      <c r="D38" s="312"/>
      <c r="E38" s="313">
        <v>1</v>
      </c>
      <c r="F38" s="313"/>
      <c r="G38" s="54">
        <v>15</v>
      </c>
      <c r="H38" s="54">
        <v>10</v>
      </c>
      <c r="I38" s="54"/>
      <c r="J38" s="54"/>
      <c r="K38" s="54"/>
      <c r="L38" s="54"/>
      <c r="M38" s="54"/>
      <c r="N38" s="54"/>
      <c r="O38" s="54">
        <v>1</v>
      </c>
      <c r="P38" s="55"/>
      <c r="Q38" s="55"/>
      <c r="R38" s="55"/>
      <c r="S38" s="55"/>
      <c r="T38" s="55"/>
      <c r="U38" s="55"/>
      <c r="V38" s="55"/>
      <c r="W38" s="55"/>
      <c r="X38" s="55"/>
      <c r="Y38" s="44">
        <f>SUM(Z38:AC38)</f>
        <v>15</v>
      </c>
      <c r="Z38" s="44">
        <f>SUM(G38,P38)</f>
        <v>15</v>
      </c>
      <c r="AA38" s="44">
        <f>I38+R38</f>
        <v>0</v>
      </c>
      <c r="AB38" s="44">
        <f>K38+T38</f>
        <v>0</v>
      </c>
      <c r="AC38" s="44">
        <f>SUM(M38,V38)</f>
        <v>0</v>
      </c>
      <c r="AD38" s="44">
        <f>SUM(G38:N38,P38:W38)</f>
        <v>25</v>
      </c>
      <c r="AE38" s="15">
        <f>SUM(O38,X38)</f>
        <v>1</v>
      </c>
    </row>
    <row r="39" spans="1:34" ht="23.25" customHeight="1">
      <c r="A39" s="325">
        <v>2</v>
      </c>
      <c r="B39" s="583" t="s">
        <v>115</v>
      </c>
      <c r="C39" s="584"/>
      <c r="D39" s="312"/>
      <c r="E39" s="313">
        <v>2</v>
      </c>
      <c r="F39" s="313"/>
      <c r="G39" s="54"/>
      <c r="H39" s="54"/>
      <c r="I39" s="54"/>
      <c r="J39" s="54"/>
      <c r="K39" s="54"/>
      <c r="L39" s="54"/>
      <c r="M39" s="54"/>
      <c r="N39" s="326"/>
      <c r="O39" s="54"/>
      <c r="P39" s="55">
        <v>15</v>
      </c>
      <c r="Q39" s="55">
        <v>10</v>
      </c>
      <c r="R39" s="55"/>
      <c r="S39" s="55"/>
      <c r="T39" s="55"/>
      <c r="U39" s="55"/>
      <c r="V39" s="55"/>
      <c r="W39" s="55"/>
      <c r="X39" s="55">
        <v>1</v>
      </c>
      <c r="Y39" s="44">
        <f>SUM(Z39:AC39)</f>
        <v>15</v>
      </c>
      <c r="Z39" s="44">
        <f>SUM(G39,P39)</f>
        <v>15</v>
      </c>
      <c r="AA39" s="44">
        <f>I39+R39</f>
        <v>0</v>
      </c>
      <c r="AB39" s="44">
        <f>K39+T39</f>
        <v>0</v>
      </c>
      <c r="AC39" s="44">
        <f>SUM(M39,V39)</f>
        <v>0</v>
      </c>
      <c r="AD39" s="44">
        <f>SUM(G39:N39,P39:W39)</f>
        <v>25</v>
      </c>
      <c r="AE39" s="15">
        <f>SUM(O39,X39)</f>
        <v>1</v>
      </c>
    </row>
    <row r="40" spans="1:34" s="22" customFormat="1" ht="21.75" customHeight="1">
      <c r="A40" s="577" t="s">
        <v>9</v>
      </c>
      <c r="B40" s="578"/>
      <c r="C40" s="578"/>
      <c r="D40" s="578"/>
      <c r="E40" s="578"/>
      <c r="F40" s="579"/>
      <c r="G40" s="327">
        <f t="shared" ref="G40:AE40" si="13">SUM(G38:G39)</f>
        <v>15</v>
      </c>
      <c r="H40" s="327">
        <f t="shared" si="13"/>
        <v>10</v>
      </c>
      <c r="I40" s="327">
        <f t="shared" si="13"/>
        <v>0</v>
      </c>
      <c r="J40" s="327">
        <f t="shared" si="13"/>
        <v>0</v>
      </c>
      <c r="K40" s="327">
        <f t="shared" si="13"/>
        <v>0</v>
      </c>
      <c r="L40" s="327">
        <f t="shared" si="13"/>
        <v>0</v>
      </c>
      <c r="M40" s="327">
        <f t="shared" si="13"/>
        <v>0</v>
      </c>
      <c r="N40" s="327">
        <f t="shared" si="13"/>
        <v>0</v>
      </c>
      <c r="O40" s="327">
        <f t="shared" si="13"/>
        <v>1</v>
      </c>
      <c r="P40" s="327">
        <f t="shared" si="13"/>
        <v>15</v>
      </c>
      <c r="Q40" s="327">
        <f t="shared" si="13"/>
        <v>10</v>
      </c>
      <c r="R40" s="327">
        <f t="shared" si="13"/>
        <v>0</v>
      </c>
      <c r="S40" s="327">
        <f t="shared" si="13"/>
        <v>0</v>
      </c>
      <c r="T40" s="327">
        <f t="shared" si="13"/>
        <v>0</v>
      </c>
      <c r="U40" s="327">
        <f t="shared" si="13"/>
        <v>0</v>
      </c>
      <c r="V40" s="327">
        <f t="shared" si="13"/>
        <v>0</v>
      </c>
      <c r="W40" s="327">
        <f t="shared" si="13"/>
        <v>0</v>
      </c>
      <c r="X40" s="327">
        <f t="shared" si="13"/>
        <v>1</v>
      </c>
      <c r="Y40" s="327">
        <f t="shared" si="13"/>
        <v>30</v>
      </c>
      <c r="Z40" s="327">
        <f t="shared" si="13"/>
        <v>30</v>
      </c>
      <c r="AA40" s="327">
        <f t="shared" si="13"/>
        <v>0</v>
      </c>
      <c r="AB40" s="327">
        <f t="shared" si="13"/>
        <v>0</v>
      </c>
      <c r="AC40" s="327">
        <f t="shared" si="13"/>
        <v>0</v>
      </c>
      <c r="AD40" s="327">
        <f t="shared" si="13"/>
        <v>50</v>
      </c>
      <c r="AE40" s="45">
        <f t="shared" si="13"/>
        <v>2</v>
      </c>
    </row>
    <row r="41" spans="1:34" s="22" customFormat="1" ht="21.75" customHeight="1">
      <c r="A41" s="604" t="s">
        <v>435</v>
      </c>
      <c r="B41" s="604"/>
      <c r="C41" s="604"/>
      <c r="D41" s="604"/>
      <c r="E41" s="604"/>
      <c r="F41" s="604"/>
      <c r="G41" s="604"/>
      <c r="H41" s="604"/>
      <c r="I41" s="604"/>
      <c r="J41" s="604"/>
      <c r="K41" s="604"/>
      <c r="L41" s="604"/>
      <c r="M41" s="604"/>
      <c r="N41" s="604"/>
      <c r="O41" s="604"/>
      <c r="P41" s="604"/>
      <c r="Q41" s="604"/>
      <c r="R41" s="604"/>
      <c r="S41" s="604"/>
      <c r="T41" s="604"/>
      <c r="U41" s="604"/>
      <c r="V41" s="604"/>
      <c r="W41" s="604"/>
      <c r="X41" s="604"/>
      <c r="Y41" s="604"/>
      <c r="Z41" s="604"/>
      <c r="AA41" s="604"/>
      <c r="AB41" s="604"/>
      <c r="AC41" s="604"/>
      <c r="AD41" s="604"/>
      <c r="AE41" s="604"/>
    </row>
    <row r="42" spans="1:34" s="22" customFormat="1" ht="21.75" customHeight="1">
      <c r="A42" s="473" t="s">
        <v>439</v>
      </c>
      <c r="B42" s="484" t="s">
        <v>436</v>
      </c>
      <c r="C42" s="474" t="s">
        <v>442</v>
      </c>
      <c r="D42" s="470"/>
      <c r="E42" s="470"/>
      <c r="F42" s="477">
        <v>1</v>
      </c>
      <c r="G42" s="54">
        <v>5</v>
      </c>
      <c r="H42" s="54"/>
      <c r="I42" s="54"/>
      <c r="J42" s="54"/>
      <c r="K42" s="54"/>
      <c r="L42" s="54"/>
      <c r="M42" s="54"/>
      <c r="N42" s="54"/>
      <c r="O42" s="54">
        <v>0</v>
      </c>
      <c r="P42" s="55"/>
      <c r="Q42" s="55"/>
      <c r="R42" s="55"/>
      <c r="S42" s="55"/>
      <c r="T42" s="55"/>
      <c r="U42" s="55"/>
      <c r="V42" s="55"/>
      <c r="W42" s="55"/>
      <c r="X42" s="55"/>
      <c r="Y42" s="471">
        <f>SUM(G42,I42,K42,M42,P42,R42,T42,V42)</f>
        <v>5</v>
      </c>
      <c r="Z42" s="471">
        <f>SUM(G42,P42)</f>
        <v>5</v>
      </c>
      <c r="AA42" s="471">
        <f>SUM(I42,R42)</f>
        <v>0</v>
      </c>
      <c r="AB42" s="471">
        <f>SUM(K42,T42)</f>
        <v>0</v>
      </c>
      <c r="AC42" s="471">
        <f>SUM(M42,V42)</f>
        <v>0</v>
      </c>
      <c r="AD42" s="471">
        <f>SUM(G42:N42,P42:W42)</f>
        <v>5</v>
      </c>
      <c r="AE42" s="472">
        <f>SUM(O42,X42)</f>
        <v>0</v>
      </c>
    </row>
    <row r="43" spans="1:34" s="22" customFormat="1" ht="21.75" customHeight="1">
      <c r="A43" s="473" t="s">
        <v>440</v>
      </c>
      <c r="B43" s="484" t="s">
        <v>437</v>
      </c>
      <c r="C43" s="474" t="s">
        <v>444</v>
      </c>
      <c r="D43" s="470"/>
      <c r="E43" s="470"/>
      <c r="F43" s="477">
        <v>1</v>
      </c>
      <c r="G43" s="54">
        <v>5</v>
      </c>
      <c r="H43" s="54"/>
      <c r="I43" s="54"/>
      <c r="J43" s="54"/>
      <c r="K43" s="54"/>
      <c r="L43" s="54"/>
      <c r="M43" s="54"/>
      <c r="N43" s="54"/>
      <c r="O43" s="54">
        <v>0</v>
      </c>
      <c r="P43" s="55"/>
      <c r="Q43" s="55"/>
      <c r="R43" s="55"/>
      <c r="S43" s="55"/>
      <c r="T43" s="55"/>
      <c r="U43" s="55"/>
      <c r="V43" s="55"/>
      <c r="W43" s="55"/>
      <c r="X43" s="55"/>
      <c r="Y43" s="471">
        <f t="shared" ref="Y43:Y44" si="14">SUM(G43,I43,K43,M43,P43,R43,T43,V43)</f>
        <v>5</v>
      </c>
      <c r="Z43" s="471">
        <f t="shared" ref="Z43:Z44" si="15">SUM(G43,P43)</f>
        <v>5</v>
      </c>
      <c r="AA43" s="471">
        <f t="shared" ref="AA43:AA44" si="16">SUM(I43,R43)</f>
        <v>0</v>
      </c>
      <c r="AB43" s="471">
        <f t="shared" ref="AB43:AB44" si="17">SUM(K43,T43)</f>
        <v>0</v>
      </c>
      <c r="AC43" s="471">
        <f t="shared" ref="AC43:AC44" si="18">SUM(M43,V43)</f>
        <v>0</v>
      </c>
      <c r="AD43" s="471">
        <f t="shared" ref="AD43:AD44" si="19">SUM(G43:N43,P43:W43)</f>
        <v>5</v>
      </c>
      <c r="AE43" s="472">
        <f t="shared" ref="AE43:AE44" si="20">SUM(O43,X43)</f>
        <v>0</v>
      </c>
    </row>
    <row r="44" spans="1:34" s="22" customFormat="1" ht="21.75" customHeight="1">
      <c r="A44" s="473" t="s">
        <v>441</v>
      </c>
      <c r="B44" s="484" t="s">
        <v>438</v>
      </c>
      <c r="C44" s="474" t="s">
        <v>443</v>
      </c>
      <c r="D44" s="470"/>
      <c r="E44" s="470"/>
      <c r="F44" s="477">
        <v>1</v>
      </c>
      <c r="G44" s="54">
        <v>5</v>
      </c>
      <c r="H44" s="54"/>
      <c r="I44" s="54"/>
      <c r="J44" s="54"/>
      <c r="K44" s="54"/>
      <c r="L44" s="54"/>
      <c r="M44" s="54"/>
      <c r="N44" s="54"/>
      <c r="O44" s="54">
        <v>0</v>
      </c>
      <c r="P44" s="55"/>
      <c r="Q44" s="55"/>
      <c r="R44" s="55"/>
      <c r="S44" s="55"/>
      <c r="T44" s="55"/>
      <c r="U44" s="55"/>
      <c r="V44" s="55"/>
      <c r="W44" s="55"/>
      <c r="X44" s="55"/>
      <c r="Y44" s="471">
        <f t="shared" si="14"/>
        <v>5</v>
      </c>
      <c r="Z44" s="471">
        <f t="shared" si="15"/>
        <v>5</v>
      </c>
      <c r="AA44" s="471">
        <f t="shared" si="16"/>
        <v>0</v>
      </c>
      <c r="AB44" s="471">
        <f t="shared" si="17"/>
        <v>0</v>
      </c>
      <c r="AC44" s="471">
        <f t="shared" si="18"/>
        <v>0</v>
      </c>
      <c r="AD44" s="471">
        <f t="shared" si="19"/>
        <v>5</v>
      </c>
      <c r="AE44" s="472">
        <f t="shared" si="20"/>
        <v>0</v>
      </c>
    </row>
    <row r="45" spans="1:34" s="22" customFormat="1" ht="21.75" customHeight="1">
      <c r="A45" s="605" t="s">
        <v>9</v>
      </c>
      <c r="B45" s="606"/>
      <c r="C45" s="606"/>
      <c r="D45" s="606"/>
      <c r="E45" s="606"/>
      <c r="F45" s="607"/>
      <c r="G45" s="475">
        <f>SUM(G42:G44)</f>
        <v>15</v>
      </c>
      <c r="H45" s="475">
        <f>SUM(H42:H44)</f>
        <v>0</v>
      </c>
      <c r="I45" s="475">
        <f t="shared" ref="I45:N45" si="21">SUM(I42:I44)</f>
        <v>0</v>
      </c>
      <c r="J45" s="475">
        <f t="shared" si="21"/>
        <v>0</v>
      </c>
      <c r="K45" s="475">
        <f t="shared" si="21"/>
        <v>0</v>
      </c>
      <c r="L45" s="475">
        <f t="shared" si="21"/>
        <v>0</v>
      </c>
      <c r="M45" s="475">
        <f t="shared" si="21"/>
        <v>0</v>
      </c>
      <c r="N45" s="475">
        <f t="shared" si="21"/>
        <v>0</v>
      </c>
      <c r="O45" s="475">
        <f>SUM(O42:O44)</f>
        <v>0</v>
      </c>
      <c r="P45" s="475">
        <f>SUM(P42:P44)</f>
        <v>0</v>
      </c>
      <c r="Q45" s="475">
        <f t="shared" ref="Q45:X45" si="22">SUM(Q42:Q44)</f>
        <v>0</v>
      </c>
      <c r="R45" s="475">
        <f t="shared" si="22"/>
        <v>0</v>
      </c>
      <c r="S45" s="475">
        <f t="shared" si="22"/>
        <v>0</v>
      </c>
      <c r="T45" s="475">
        <f t="shared" si="22"/>
        <v>0</v>
      </c>
      <c r="U45" s="475">
        <f t="shared" si="22"/>
        <v>0</v>
      </c>
      <c r="V45" s="475">
        <f t="shared" si="22"/>
        <v>0</v>
      </c>
      <c r="W45" s="475">
        <f t="shared" si="22"/>
        <v>0</v>
      </c>
      <c r="X45" s="475">
        <f t="shared" si="22"/>
        <v>0</v>
      </c>
      <c r="Y45" s="475">
        <f t="shared" ref="Y45:AE45" si="23">SUM(Y42:Y44)</f>
        <v>15</v>
      </c>
      <c r="Z45" s="475">
        <f t="shared" si="23"/>
        <v>15</v>
      </c>
      <c r="AA45" s="475">
        <f t="shared" si="23"/>
        <v>0</v>
      </c>
      <c r="AB45" s="475">
        <f t="shared" si="23"/>
        <v>0</v>
      </c>
      <c r="AC45" s="475">
        <f t="shared" si="23"/>
        <v>0</v>
      </c>
      <c r="AD45" s="475">
        <f t="shared" si="23"/>
        <v>15</v>
      </c>
      <c r="AE45" s="475">
        <f t="shared" si="23"/>
        <v>0</v>
      </c>
    </row>
    <row r="46" spans="1:34" ht="27" customHeight="1">
      <c r="A46" s="576" t="s">
        <v>21</v>
      </c>
      <c r="B46" s="576"/>
      <c r="C46" s="576"/>
      <c r="D46" s="576"/>
      <c r="E46" s="576"/>
      <c r="F46" s="576"/>
      <c r="G46" s="476">
        <f>SUM(G13,G19,G27,G30,G36,G40,G45)</f>
        <v>220</v>
      </c>
      <c r="H46" s="476">
        <f>SUM(H13,H19,H27,H30,H36,H40,H45)</f>
        <v>205</v>
      </c>
      <c r="I46" s="476">
        <f t="shared" ref="I46:O46" si="24">SUM(I13,I19,I27,I30,I36,I40,I45)</f>
        <v>162</v>
      </c>
      <c r="J46" s="476">
        <f t="shared" si="24"/>
        <v>110</v>
      </c>
      <c r="K46" s="476">
        <f t="shared" si="24"/>
        <v>60</v>
      </c>
      <c r="L46" s="476">
        <f t="shared" si="24"/>
        <v>0</v>
      </c>
      <c r="M46" s="476">
        <f t="shared" si="24"/>
        <v>20</v>
      </c>
      <c r="N46" s="476">
        <f t="shared" si="24"/>
        <v>0</v>
      </c>
      <c r="O46" s="476">
        <f t="shared" si="24"/>
        <v>28.5</v>
      </c>
      <c r="P46" s="476">
        <f>SUM(P13,P19,P27,P30,P36,P40,P45)</f>
        <v>130</v>
      </c>
      <c r="Q46" s="476">
        <f t="shared" ref="Q46:X46" si="25">SUM(Q13,Q19,Q27,Q30,Q36,Q40,Q45)</f>
        <v>170</v>
      </c>
      <c r="R46" s="476">
        <f t="shared" si="25"/>
        <v>150</v>
      </c>
      <c r="S46" s="476">
        <f t="shared" si="25"/>
        <v>175</v>
      </c>
      <c r="T46" s="476">
        <f t="shared" si="25"/>
        <v>200</v>
      </c>
      <c r="U46" s="476">
        <f t="shared" si="25"/>
        <v>0</v>
      </c>
      <c r="V46" s="476">
        <f t="shared" si="25"/>
        <v>20</v>
      </c>
      <c r="W46" s="476">
        <f t="shared" si="25"/>
        <v>0</v>
      </c>
      <c r="X46" s="476">
        <f t="shared" si="25"/>
        <v>31.5</v>
      </c>
      <c r="Y46" s="476">
        <f t="shared" ref="Y46" si="26">SUM(Y13,Y19,Y27,Y30,Y36,Y40,Y45)</f>
        <v>962</v>
      </c>
      <c r="Z46" s="476">
        <f t="shared" ref="Z46" si="27">SUM(Z13,Z19,Z27,Z30,Z36,Z40,Z45)</f>
        <v>350</v>
      </c>
      <c r="AA46" s="476">
        <f t="shared" ref="AA46" si="28">SUM(AA13,AA19,AA27,AA30,AA36,AA40,AA45)</f>
        <v>312</v>
      </c>
      <c r="AB46" s="476">
        <f t="shared" ref="AB46" si="29">SUM(AB13,AB19,AB27,AB30,AB36,AB40,AB45)</f>
        <v>260</v>
      </c>
      <c r="AC46" s="476">
        <f t="shared" ref="AC46" si="30">SUM(AC13,AC19,AC27,AC30,AC36,AC40,AC45)</f>
        <v>40</v>
      </c>
      <c r="AD46" s="476">
        <f t="shared" ref="AD46" si="31">SUM(AD13,AD19,AD27,AD30,AD36,AD40,AD45)</f>
        <v>1622</v>
      </c>
      <c r="AE46" s="476">
        <f t="shared" ref="AE46" si="32">SUM(AE13,AE19,AE27,AE30,AE36,AE40,AE45)</f>
        <v>60</v>
      </c>
    </row>
    <row r="47" spans="1:34" ht="21" customHeight="1">
      <c r="A47" s="329"/>
      <c r="B47" s="330"/>
      <c r="C47" s="331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3"/>
      <c r="Y47" s="592"/>
      <c r="Z47" s="592"/>
      <c r="AA47" s="592"/>
      <c r="AB47" s="592"/>
      <c r="AC47" s="592"/>
      <c r="AD47" s="592"/>
      <c r="AE47" s="23"/>
      <c r="AF47" s="23"/>
      <c r="AG47" s="23"/>
      <c r="AH47" s="23"/>
    </row>
    <row r="48" spans="1:34" ht="30" customHeight="1">
      <c r="A48" s="334" t="s">
        <v>340</v>
      </c>
      <c r="B48" s="335"/>
      <c r="C48" s="331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6"/>
      <c r="Y48" s="592"/>
      <c r="Z48" s="592"/>
      <c r="AA48" s="592"/>
      <c r="AB48" s="592"/>
      <c r="AC48" s="592"/>
      <c r="AD48" s="592"/>
      <c r="AE48" s="23"/>
      <c r="AF48" s="23"/>
      <c r="AG48" s="23"/>
      <c r="AH48" s="23"/>
    </row>
    <row r="49" spans="1:34" ht="33.75" customHeight="1">
      <c r="A49" s="337">
        <v>1</v>
      </c>
      <c r="B49" s="49" t="s">
        <v>112</v>
      </c>
      <c r="C49" s="311" t="str">
        <f>"0912-7LEK-F-"&amp;A49&amp;"-"&amp;UPPER(LEFT(B49,1))&amp;"HKN"</f>
        <v>0912-7LEK-F-1-ZHKN</v>
      </c>
      <c r="D49" s="312"/>
      <c r="E49" s="313">
        <v>1</v>
      </c>
      <c r="F49" s="313"/>
      <c r="G49" s="54">
        <v>15</v>
      </c>
      <c r="H49" s="54">
        <v>10</v>
      </c>
      <c r="I49" s="54"/>
      <c r="J49" s="54"/>
      <c r="K49" s="54"/>
      <c r="L49" s="54"/>
      <c r="M49" s="54"/>
      <c r="N49" s="54"/>
      <c r="O49" s="54">
        <v>1</v>
      </c>
      <c r="P49" s="55"/>
      <c r="Q49" s="55"/>
      <c r="R49" s="55"/>
      <c r="S49" s="55"/>
      <c r="T49" s="55"/>
      <c r="U49" s="55"/>
      <c r="V49" s="55"/>
      <c r="W49" s="55"/>
      <c r="X49" s="55"/>
      <c r="Y49" s="44">
        <f>SUM(G49,I49,K49,M49,P49,R49,T49,V49)</f>
        <v>15</v>
      </c>
      <c r="Z49" s="44">
        <f>SUM(G49,P49)</f>
        <v>15</v>
      </c>
      <c r="AA49" s="44">
        <f>SUM(I49,R49)</f>
        <v>0</v>
      </c>
      <c r="AB49" s="44">
        <f>SUM(K49,T49)</f>
        <v>0</v>
      </c>
      <c r="AC49" s="44">
        <f>SUM(M49,V49)</f>
        <v>0</v>
      </c>
      <c r="AD49" s="44">
        <f>SUM(G49:N49,P49:W49)</f>
        <v>25</v>
      </c>
      <c r="AE49" s="15">
        <f>SUM(O49,X49)</f>
        <v>1</v>
      </c>
    </row>
    <row r="50" spans="1:34" ht="33.75" customHeight="1">
      <c r="A50" s="337">
        <v>2</v>
      </c>
      <c r="B50" s="49" t="s">
        <v>402</v>
      </c>
      <c r="C50" s="311" t="str">
        <f>"0912-7LEK-F-"&amp;A50&amp;"-"&amp;UPPER(LEFT(B50,1))&amp;"ST"</f>
        <v>0912-7LEK-F-2-NST</v>
      </c>
      <c r="D50" s="312"/>
      <c r="E50" s="313">
        <v>1</v>
      </c>
      <c r="F50" s="313"/>
      <c r="G50" s="54">
        <v>15</v>
      </c>
      <c r="H50" s="54">
        <v>10</v>
      </c>
      <c r="I50" s="54"/>
      <c r="J50" s="54"/>
      <c r="K50" s="54"/>
      <c r="L50" s="54"/>
      <c r="M50" s="54"/>
      <c r="N50" s="54"/>
      <c r="O50" s="54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44">
        <f>SUM(G50,I50,K50,M50,P50,R50,T50,V50)</f>
        <v>15</v>
      </c>
      <c r="Z50" s="44">
        <f>SUM(G50,P50)</f>
        <v>15</v>
      </c>
      <c r="AA50" s="44">
        <f>SUM(I50,R50)</f>
        <v>0</v>
      </c>
      <c r="AB50" s="44">
        <f>SUM(K50,T50)</f>
        <v>0</v>
      </c>
      <c r="AC50" s="44">
        <f>SUM(M50,V50)</f>
        <v>0</v>
      </c>
      <c r="AD50" s="44">
        <f>SUM(G50:N50,P50:W50)</f>
        <v>25</v>
      </c>
      <c r="AE50" s="15">
        <f>SUM(O50,X50)</f>
        <v>1</v>
      </c>
    </row>
    <row r="51" spans="1:34" ht="33.75" customHeight="1">
      <c r="A51" s="337">
        <v>3</v>
      </c>
      <c r="B51" s="49" t="s">
        <v>116</v>
      </c>
      <c r="C51" s="311" t="str">
        <f>"0912-7LEK-F-"&amp;A51&amp;"-"&amp;UPPER(LEFT(B51,1))&amp;"C"</f>
        <v>0912-7LEK-F-3-SC</v>
      </c>
      <c r="D51" s="312"/>
      <c r="E51" s="313">
        <v>2</v>
      </c>
      <c r="F51" s="313"/>
      <c r="G51" s="54"/>
      <c r="H51" s="54"/>
      <c r="I51" s="54"/>
      <c r="J51" s="54"/>
      <c r="K51" s="54"/>
      <c r="L51" s="54"/>
      <c r="M51" s="54"/>
      <c r="N51" s="54"/>
      <c r="O51" s="54"/>
      <c r="P51" s="55">
        <v>15</v>
      </c>
      <c r="Q51" s="55">
        <v>10</v>
      </c>
      <c r="R51" s="55"/>
      <c r="S51" s="55"/>
      <c r="T51" s="55"/>
      <c r="U51" s="55"/>
      <c r="V51" s="55"/>
      <c r="W51" s="55"/>
      <c r="X51" s="55">
        <v>1</v>
      </c>
      <c r="Y51" s="44">
        <f>SUM(G51,I51,K51,M51,P51,R51,T51,V51)</f>
        <v>15</v>
      </c>
      <c r="Z51" s="44">
        <f>SUM(G51,P51)</f>
        <v>15</v>
      </c>
      <c r="AA51" s="44">
        <f>SUM(I51,R51)</f>
        <v>0</v>
      </c>
      <c r="AB51" s="44">
        <f>SUM(K51,T51)</f>
        <v>0</v>
      </c>
      <c r="AC51" s="44">
        <f>SUM(M51,V51)</f>
        <v>0</v>
      </c>
      <c r="AD51" s="44">
        <f>SUM(G51:N51,P51:W51)</f>
        <v>25</v>
      </c>
      <c r="AE51" s="15">
        <f>SUM(O51,X51)</f>
        <v>1</v>
      </c>
    </row>
    <row r="52" spans="1:34" ht="48" customHeight="1">
      <c r="A52" s="337">
        <v>4</v>
      </c>
      <c r="B52" s="49" t="s">
        <v>401</v>
      </c>
      <c r="C52" s="311" t="str">
        <f>"0912-7LEK-F-"&amp;A52&amp;"-"&amp;UPPER(LEFT(B52,1))&amp;"SP"</f>
        <v>0912-7LEK-F-4-SSP</v>
      </c>
      <c r="D52" s="312"/>
      <c r="E52" s="313">
        <v>2</v>
      </c>
      <c r="F52" s="313"/>
      <c r="G52" s="54"/>
      <c r="H52" s="54"/>
      <c r="I52" s="54"/>
      <c r="J52" s="54"/>
      <c r="K52" s="54"/>
      <c r="L52" s="54"/>
      <c r="M52" s="54"/>
      <c r="N52" s="54"/>
      <c r="O52" s="54"/>
      <c r="P52" s="55">
        <v>15</v>
      </c>
      <c r="Q52" s="55">
        <v>10</v>
      </c>
      <c r="R52" s="55"/>
      <c r="S52" s="55"/>
      <c r="T52" s="55"/>
      <c r="U52" s="55"/>
      <c r="V52" s="55"/>
      <c r="W52" s="55"/>
      <c r="X52" s="55">
        <v>1</v>
      </c>
      <c r="Y52" s="44">
        <f>SUM(G52,I52,K52,M52,P52,R52,T52,V52)</f>
        <v>15</v>
      </c>
      <c r="Z52" s="44">
        <f>SUM(G52,P52)</f>
        <v>15</v>
      </c>
      <c r="AA52" s="44">
        <f>SUM(I52,R52)</f>
        <v>0</v>
      </c>
      <c r="AB52" s="44">
        <f>SUM(K52,T52)</f>
        <v>0</v>
      </c>
      <c r="AC52" s="44">
        <f>SUM(M52,V52)</f>
        <v>0</v>
      </c>
      <c r="AD52" s="44">
        <f>SUM(G52:N52,P52:W52)</f>
        <v>25</v>
      </c>
      <c r="AE52" s="15">
        <f>SUM(O52,X52)</f>
        <v>1</v>
      </c>
    </row>
    <row r="53" spans="1:34">
      <c r="A53" s="338"/>
      <c r="B53" s="335"/>
      <c r="C53" s="339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</row>
    <row r="54" spans="1:34" ht="20.25">
      <c r="A54" s="330"/>
      <c r="B54" s="330"/>
      <c r="C54" s="331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3"/>
      <c r="Y54" s="333"/>
      <c r="Z54" s="333"/>
      <c r="AA54" s="333"/>
      <c r="AB54" s="333"/>
      <c r="AC54" s="333"/>
      <c r="AD54" s="333"/>
    </row>
    <row r="55" spans="1:34" ht="21" customHeight="1">
      <c r="A55" s="330"/>
      <c r="B55" s="330"/>
      <c r="C55" s="331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 t="s">
        <v>122</v>
      </c>
      <c r="W55" s="332"/>
      <c r="X55" s="333"/>
      <c r="Y55" s="333"/>
      <c r="Z55" s="333"/>
      <c r="AA55" s="333"/>
      <c r="AB55" s="333"/>
      <c r="AC55" s="333"/>
      <c r="AD55" s="333"/>
    </row>
    <row r="56" spans="1:34" ht="20.25">
      <c r="A56" s="338"/>
      <c r="B56" s="340"/>
      <c r="C56" s="341"/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3"/>
      <c r="Y56" s="333"/>
      <c r="Z56" s="333"/>
      <c r="AA56" s="333"/>
      <c r="AB56" s="333"/>
      <c r="AC56" s="333"/>
      <c r="AD56" s="333"/>
    </row>
    <row r="57" spans="1:34" ht="21" customHeight="1">
      <c r="A57" s="342"/>
      <c r="B57" s="343"/>
      <c r="C57" s="344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6"/>
      <c r="V57" s="346"/>
      <c r="W57" s="346"/>
      <c r="X57" s="333"/>
      <c r="Y57" s="333"/>
      <c r="Z57" s="333"/>
      <c r="AA57" s="333"/>
      <c r="AB57" s="333"/>
      <c r="AC57" s="333"/>
      <c r="AD57" s="333"/>
    </row>
    <row r="58" spans="1:34" ht="20.25">
      <c r="A58" s="30"/>
      <c r="B58" s="300" t="s">
        <v>326</v>
      </c>
      <c r="C58" s="301"/>
      <c r="D58" s="302"/>
      <c r="E58" s="302"/>
      <c r="F58" s="302"/>
      <c r="G58" s="302"/>
      <c r="H58" s="302"/>
      <c r="I58" s="302"/>
      <c r="J58" s="302"/>
      <c r="K58" s="299"/>
      <c r="L58" s="26"/>
      <c r="M58" s="26"/>
      <c r="N58" s="26"/>
      <c r="O58" s="27"/>
      <c r="P58" s="27"/>
      <c r="Q58" s="27"/>
      <c r="R58" s="27"/>
      <c r="S58" s="27"/>
      <c r="T58" s="27"/>
      <c r="U58" s="27"/>
      <c r="V58" s="27"/>
      <c r="W58" s="27"/>
      <c r="X58" s="29"/>
    </row>
    <row r="59" spans="1:34" ht="20.25">
      <c r="A59" s="31"/>
      <c r="B59" s="300" t="s">
        <v>494</v>
      </c>
      <c r="C59" s="301"/>
      <c r="D59" s="302"/>
      <c r="E59" s="302"/>
      <c r="F59" s="302"/>
      <c r="G59" s="302"/>
      <c r="H59" s="302"/>
      <c r="I59" s="302"/>
      <c r="J59" s="302"/>
      <c r="K59" s="299"/>
      <c r="L59" s="27"/>
      <c r="M59" s="27"/>
      <c r="N59" s="27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34" ht="20.25">
      <c r="A60" s="32"/>
      <c r="B60" s="302" t="s">
        <v>327</v>
      </c>
      <c r="C60" s="301"/>
      <c r="D60" s="302"/>
      <c r="E60" s="302"/>
      <c r="F60" s="302"/>
      <c r="G60" s="302"/>
      <c r="H60" s="302"/>
      <c r="I60" s="302"/>
      <c r="J60" s="302"/>
      <c r="K60" s="299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34" s="28" customFormat="1" ht="20.25">
      <c r="A61" s="32"/>
      <c r="B61" s="302" t="s">
        <v>328</v>
      </c>
      <c r="C61" s="301"/>
      <c r="D61" s="303"/>
      <c r="E61" s="303"/>
      <c r="F61" s="302"/>
      <c r="G61" s="302"/>
      <c r="H61" s="302"/>
      <c r="I61" s="302"/>
      <c r="J61" s="302"/>
      <c r="K61" s="299"/>
      <c r="L61" s="56"/>
      <c r="M61" s="56"/>
      <c r="N61" s="56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20.25">
      <c r="A62" s="32"/>
      <c r="B62" s="302" t="s">
        <v>329</v>
      </c>
      <c r="C62" s="301"/>
      <c r="D62" s="302"/>
      <c r="E62" s="302"/>
      <c r="F62" s="302"/>
      <c r="G62" s="302"/>
      <c r="H62" s="302"/>
      <c r="I62" s="302"/>
      <c r="J62" s="302"/>
      <c r="K62" s="299"/>
      <c r="L62" s="27"/>
      <c r="M62" s="27"/>
      <c r="N62" s="27"/>
      <c r="X62" s="27"/>
    </row>
    <row r="63" spans="1:34" ht="18.75">
      <c r="A63" s="32"/>
      <c r="B63" s="302" t="s">
        <v>347</v>
      </c>
      <c r="C63" s="344"/>
      <c r="D63" s="345"/>
      <c r="E63" s="345"/>
      <c r="F63" s="345"/>
      <c r="G63" s="345"/>
      <c r="H63" s="345"/>
      <c r="I63" s="345"/>
      <c r="J63" s="345"/>
      <c r="K63" s="345"/>
    </row>
    <row r="64" spans="1:34" ht="18.75">
      <c r="A64" s="32"/>
      <c r="B64" s="302" t="s">
        <v>448</v>
      </c>
      <c r="C64" s="344"/>
      <c r="D64" s="345"/>
      <c r="E64" s="345"/>
      <c r="F64" s="345"/>
      <c r="G64" s="345"/>
      <c r="H64" s="345"/>
      <c r="I64" s="345"/>
      <c r="J64" s="345"/>
      <c r="K64" s="345"/>
    </row>
    <row r="65" spans="1:11" ht="18.75">
      <c r="A65" s="31"/>
      <c r="B65" s="302" t="s">
        <v>449</v>
      </c>
      <c r="C65" s="344"/>
      <c r="D65" s="345"/>
      <c r="E65" s="345"/>
      <c r="F65" s="345"/>
      <c r="G65" s="345"/>
      <c r="H65" s="345"/>
      <c r="I65" s="345"/>
      <c r="J65" s="345"/>
      <c r="K65" s="345"/>
    </row>
    <row r="66" spans="1:11" ht="18.75">
      <c r="A66" s="30"/>
      <c r="B66" s="300" t="s">
        <v>482</v>
      </c>
      <c r="C66" s="494"/>
      <c r="D66" s="345"/>
      <c r="E66" s="345"/>
      <c r="F66" s="345"/>
      <c r="G66" s="345"/>
      <c r="H66" s="345"/>
      <c r="I66" s="345"/>
      <c r="J66" s="345"/>
      <c r="K66" s="345"/>
    </row>
    <row r="67" spans="1:11" ht="18.75">
      <c r="A67" s="30"/>
      <c r="B67" s="302" t="s">
        <v>450</v>
      </c>
      <c r="C67" s="344"/>
      <c r="D67" s="345"/>
      <c r="E67" s="345"/>
      <c r="F67" s="345"/>
      <c r="G67" s="345"/>
      <c r="H67" s="345"/>
      <c r="I67" s="345"/>
      <c r="J67" s="345"/>
      <c r="K67" s="345"/>
    </row>
    <row r="68" spans="1:11" ht="18.75">
      <c r="A68" s="34"/>
      <c r="B68" s="302" t="s">
        <v>451</v>
      </c>
      <c r="C68" s="344"/>
      <c r="D68" s="345"/>
      <c r="E68" s="345"/>
      <c r="F68" s="345"/>
      <c r="G68" s="345"/>
      <c r="H68" s="345"/>
      <c r="I68" s="345"/>
      <c r="J68" s="345"/>
      <c r="K68" s="345"/>
    </row>
    <row r="69" spans="1:11" ht="18.75">
      <c r="A69" s="34"/>
      <c r="B69" s="302" t="s">
        <v>452</v>
      </c>
      <c r="C69" s="344"/>
      <c r="D69" s="345"/>
      <c r="E69" s="345"/>
      <c r="F69" s="345"/>
      <c r="G69" s="345"/>
      <c r="H69" s="345"/>
      <c r="I69" s="345"/>
      <c r="J69" s="345"/>
      <c r="K69" s="345"/>
    </row>
    <row r="70" spans="1:11" ht="18.75">
      <c r="A70" s="34"/>
      <c r="B70" s="300" t="s">
        <v>483</v>
      </c>
      <c r="C70" s="344"/>
      <c r="D70" s="345"/>
      <c r="E70" s="345"/>
      <c r="F70" s="345"/>
      <c r="G70" s="345"/>
      <c r="H70" s="345"/>
      <c r="I70" s="345"/>
      <c r="J70" s="345"/>
      <c r="K70" s="345"/>
    </row>
    <row r="71" spans="1:11" ht="18.75">
      <c r="A71" s="34"/>
      <c r="B71" s="302" t="s">
        <v>453</v>
      </c>
      <c r="C71" s="344"/>
      <c r="D71" s="345"/>
      <c r="E71" s="345"/>
      <c r="F71" s="345"/>
      <c r="G71" s="345"/>
      <c r="H71" s="345"/>
      <c r="I71" s="345"/>
      <c r="J71" s="345"/>
      <c r="K71" s="345"/>
    </row>
    <row r="72" spans="1:11" ht="20.25">
      <c r="A72" s="34"/>
      <c r="B72" s="298" t="s">
        <v>454</v>
      </c>
      <c r="C72" s="341"/>
      <c r="D72" s="346"/>
      <c r="E72" s="340"/>
      <c r="F72" s="340"/>
      <c r="G72" s="340"/>
      <c r="H72" s="340"/>
      <c r="I72" s="340"/>
      <c r="J72" s="346"/>
      <c r="K72" s="346"/>
    </row>
    <row r="73" spans="1:11" ht="21">
      <c r="A73" s="34"/>
      <c r="B73" s="302" t="s">
        <v>455</v>
      </c>
      <c r="C73" s="301"/>
      <c r="D73" s="302"/>
      <c r="E73" s="302"/>
      <c r="F73" s="302"/>
      <c r="G73" s="302"/>
      <c r="H73" s="302"/>
      <c r="I73" s="302"/>
      <c r="J73" s="495"/>
      <c r="K73" s="346"/>
    </row>
    <row r="74" spans="1:11" ht="21">
      <c r="A74" s="34"/>
      <c r="B74" s="496" t="s">
        <v>456</v>
      </c>
      <c r="C74" s="497"/>
      <c r="D74" s="497"/>
      <c r="E74" s="497"/>
      <c r="F74" s="497"/>
      <c r="G74" s="497"/>
      <c r="H74" s="497"/>
      <c r="I74" s="497"/>
      <c r="J74" s="498"/>
      <c r="K74" s="499"/>
    </row>
    <row r="75" spans="1:11" ht="18.75">
      <c r="A75" s="34"/>
      <c r="B75" s="302" t="s">
        <v>457</v>
      </c>
      <c r="C75" s="301"/>
      <c r="D75" s="302"/>
      <c r="E75" s="302"/>
      <c r="F75" s="302"/>
      <c r="G75" s="302"/>
      <c r="H75" s="302"/>
      <c r="I75" s="302"/>
      <c r="J75" s="500"/>
      <c r="K75" s="333"/>
    </row>
    <row r="76" spans="1:11" ht="18.75">
      <c r="A76" s="34"/>
      <c r="B76" s="302" t="s">
        <v>458</v>
      </c>
      <c r="C76" s="301"/>
      <c r="D76" s="302"/>
      <c r="E76" s="302"/>
      <c r="F76" s="302"/>
      <c r="G76" s="302"/>
      <c r="H76" s="302"/>
      <c r="I76" s="302"/>
      <c r="J76" s="500"/>
      <c r="K76" s="333"/>
    </row>
    <row r="77" spans="1:11">
      <c r="A77" s="34"/>
    </row>
    <row r="78" spans="1:11" ht="18">
      <c r="A78" s="34"/>
      <c r="E78" s="487" t="s">
        <v>493</v>
      </c>
      <c r="F78" s="487"/>
      <c r="G78" s="487"/>
      <c r="H78" s="487"/>
      <c r="I78" s="487"/>
    </row>
    <row r="79" spans="1:11">
      <c r="A79" s="34"/>
    </row>
    <row r="80" spans="1:11">
      <c r="A80" s="35"/>
      <c r="B80" s="36"/>
    </row>
    <row r="81" spans="1:8">
      <c r="A81" s="35"/>
    </row>
    <row r="82" spans="1:8">
      <c r="A82" s="37"/>
      <c r="B82" s="36"/>
      <c r="H82" s="38"/>
    </row>
    <row r="83" spans="1:8">
      <c r="A83" s="37"/>
      <c r="B83" s="36"/>
    </row>
    <row r="84" spans="1:8">
      <c r="A84" s="37"/>
      <c r="B84" s="36"/>
    </row>
    <row r="85" spans="1:8">
      <c r="A85" s="37"/>
      <c r="B85" s="36"/>
    </row>
    <row r="86" spans="1:8">
      <c r="A86" s="37"/>
      <c r="B86" s="36"/>
    </row>
    <row r="87" spans="1:8">
      <c r="A87" s="37"/>
      <c r="B87" s="36"/>
    </row>
    <row r="88" spans="1:8">
      <c r="A88" s="37"/>
      <c r="B88" s="36"/>
    </row>
    <row r="89" spans="1:8">
      <c r="A89" s="37"/>
      <c r="B89" s="36"/>
    </row>
    <row r="90" spans="1:8">
      <c r="A90" s="37"/>
      <c r="B90" s="36"/>
    </row>
    <row r="91" spans="1:8">
      <c r="A91" s="37"/>
      <c r="B91" s="36"/>
    </row>
    <row r="92" spans="1:8">
      <c r="A92" s="37"/>
      <c r="B92" s="36"/>
    </row>
    <row r="93" spans="1:8">
      <c r="A93" s="37"/>
      <c r="B93" s="36"/>
    </row>
    <row r="94" spans="1:8">
      <c r="A94" s="37"/>
      <c r="B94" s="36"/>
    </row>
    <row r="95" spans="1:8">
      <c r="A95" s="37"/>
      <c r="B95" s="36"/>
    </row>
    <row r="96" spans="1:8">
      <c r="A96" s="37"/>
      <c r="B96" s="36"/>
    </row>
    <row r="97" spans="1:2">
      <c r="A97" s="37"/>
      <c r="B97" s="36"/>
    </row>
    <row r="98" spans="1:2">
      <c r="A98" s="37"/>
      <c r="B98" s="36"/>
    </row>
    <row r="99" spans="1:2">
      <c r="A99" s="37"/>
      <c r="B99" s="36"/>
    </row>
    <row r="100" spans="1:2">
      <c r="A100" s="37"/>
      <c r="B100" s="36"/>
    </row>
    <row r="101" spans="1:2">
      <c r="A101" s="37"/>
      <c r="B101" s="36"/>
    </row>
    <row r="102" spans="1:2">
      <c r="A102" s="37"/>
      <c r="B102" s="36"/>
    </row>
    <row r="103" spans="1:2">
      <c r="A103" s="37"/>
      <c r="B103" s="36"/>
    </row>
    <row r="104" spans="1:2">
      <c r="A104" s="37"/>
      <c r="B104" s="36"/>
    </row>
    <row r="105" spans="1:2">
      <c r="A105" s="37"/>
      <c r="B105" s="36"/>
    </row>
    <row r="106" spans="1:2">
      <c r="A106" s="37"/>
      <c r="B106" s="36"/>
    </row>
    <row r="107" spans="1:2">
      <c r="A107" s="37"/>
      <c r="B107" s="36"/>
    </row>
    <row r="108" spans="1:2">
      <c r="A108" s="37"/>
      <c r="B108" s="36"/>
    </row>
    <row r="109" spans="1:2">
      <c r="A109" s="37"/>
      <c r="B109" s="36"/>
    </row>
    <row r="110" spans="1:2">
      <c r="A110" s="37"/>
      <c r="B110" s="36"/>
    </row>
    <row r="111" spans="1:2">
      <c r="A111" s="37"/>
      <c r="B111" s="36"/>
    </row>
    <row r="112" spans="1:2">
      <c r="A112" s="37"/>
      <c r="B112" s="36"/>
    </row>
    <row r="113" spans="1:2">
      <c r="A113" s="37"/>
      <c r="B113" s="36"/>
    </row>
    <row r="114" spans="1:2">
      <c r="A114" s="37"/>
      <c r="B114" s="36"/>
    </row>
    <row r="115" spans="1:2">
      <c r="A115" s="37"/>
      <c r="B115" s="36"/>
    </row>
    <row r="116" spans="1:2">
      <c r="A116" s="37"/>
      <c r="B116" s="36"/>
    </row>
    <row r="117" spans="1:2">
      <c r="A117" s="37"/>
      <c r="B117" s="36"/>
    </row>
    <row r="118" spans="1:2">
      <c r="A118" s="37"/>
      <c r="B118" s="36"/>
    </row>
    <row r="119" spans="1:2">
      <c r="A119" s="37"/>
      <c r="B119" s="36"/>
    </row>
    <row r="120" spans="1:2">
      <c r="A120" s="37"/>
      <c r="B120" s="36"/>
    </row>
    <row r="121" spans="1:2">
      <c r="A121" s="37"/>
      <c r="B121" s="36"/>
    </row>
    <row r="122" spans="1:2">
      <c r="A122" s="37"/>
      <c r="B122" s="36"/>
    </row>
    <row r="123" spans="1:2">
      <c r="A123" s="37"/>
      <c r="B123" s="36"/>
    </row>
    <row r="124" spans="1:2">
      <c r="A124" s="37"/>
      <c r="B124" s="36"/>
    </row>
    <row r="125" spans="1:2">
      <c r="A125" s="37"/>
      <c r="B125" s="36"/>
    </row>
    <row r="126" spans="1:2">
      <c r="A126" s="37"/>
      <c r="B126" s="36"/>
    </row>
    <row r="127" spans="1:2">
      <c r="A127" s="37"/>
      <c r="B127" s="36"/>
    </row>
    <row r="128" spans="1:2">
      <c r="A128" s="37"/>
      <c r="B128" s="36"/>
    </row>
  </sheetData>
  <mergeCells count="47"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A3:B3"/>
    <mergeCell ref="H2:P2"/>
    <mergeCell ref="E8:E9"/>
    <mergeCell ref="A6:A9"/>
    <mergeCell ref="Y47:AD48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A41:AE41"/>
    <mergeCell ref="A45:F45"/>
    <mergeCell ref="R3:AD3"/>
    <mergeCell ref="B4:T4"/>
    <mergeCell ref="A46:F46"/>
    <mergeCell ref="A40:F40"/>
    <mergeCell ref="A36:F36"/>
    <mergeCell ref="A27:F27"/>
    <mergeCell ref="A30:F30"/>
    <mergeCell ref="B39:C39"/>
    <mergeCell ref="B38:C38"/>
    <mergeCell ref="F8:F9"/>
    <mergeCell ref="D6:F7"/>
    <mergeCell ref="B6:B9"/>
    <mergeCell ref="A19:F19"/>
    <mergeCell ref="A13:F13"/>
    <mergeCell ref="C6:C9"/>
    <mergeCell ref="D8:D9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6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258"/>
  <sheetViews>
    <sheetView topLeftCell="A34" workbookViewId="0">
      <selection activeCell="N219" sqref="N219:Q219"/>
    </sheetView>
  </sheetViews>
  <sheetFormatPr defaultRowHeight="15"/>
  <cols>
    <col min="1" max="1" width="6" style="82" customWidth="1"/>
    <col min="2" max="2" width="62.28515625" style="82" customWidth="1"/>
    <col min="3" max="3" width="19.42578125" style="131" customWidth="1"/>
    <col min="4" max="4" width="11.140625" style="88" customWidth="1"/>
    <col min="5" max="5" width="7.28515625" style="81" customWidth="1"/>
    <col min="6" max="9" width="5.28515625" style="81" customWidth="1"/>
    <col min="10" max="10" width="9.140625" style="241" customWidth="1"/>
    <col min="11" max="11" width="6.85546875" style="81" customWidth="1"/>
    <col min="12" max="13" width="9.140625" style="82"/>
    <col min="14" max="14" width="46.5703125" style="82" customWidth="1"/>
    <col min="15" max="16384" width="9.140625" style="82"/>
  </cols>
  <sheetData>
    <row r="1" spans="1:31" ht="66.75" customHeight="1">
      <c r="A1" s="749" t="s">
        <v>254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</row>
    <row r="2" spans="1:31" ht="30.75" customHeight="1">
      <c r="A2" s="768" t="s">
        <v>251</v>
      </c>
      <c r="B2" s="768"/>
      <c r="C2" s="136" t="s">
        <v>252</v>
      </c>
      <c r="D2" s="137"/>
      <c r="E2" s="138"/>
      <c r="F2" s="138"/>
      <c r="G2" s="138"/>
      <c r="H2" s="139"/>
      <c r="I2" s="139"/>
      <c r="J2" s="225"/>
      <c r="K2" s="139"/>
      <c r="L2" s="135"/>
      <c r="M2" s="135"/>
      <c r="N2" s="135"/>
      <c r="O2" s="135"/>
      <c r="P2" s="135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23.25" customHeight="1">
      <c r="A3" s="768" t="s">
        <v>253</v>
      </c>
      <c r="B3" s="768"/>
      <c r="C3" s="172"/>
      <c r="D3" s="141"/>
      <c r="E3" s="141"/>
      <c r="F3" s="141"/>
      <c r="G3" s="141"/>
      <c r="H3" s="141"/>
      <c r="I3" s="141"/>
      <c r="J3" s="226"/>
      <c r="K3" s="141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31" ht="63.75" customHeight="1">
      <c r="A4" s="73" t="s">
        <v>0</v>
      </c>
      <c r="B4" s="72" t="s">
        <v>4</v>
      </c>
      <c r="C4" s="69" t="s">
        <v>1</v>
      </c>
      <c r="D4" s="89" t="s">
        <v>235</v>
      </c>
      <c r="E4" s="168" t="s">
        <v>5</v>
      </c>
      <c r="F4" s="168" t="s">
        <v>89</v>
      </c>
      <c r="G4" s="168" t="s">
        <v>88</v>
      </c>
      <c r="H4" s="168" t="s">
        <v>94</v>
      </c>
      <c r="I4" s="168" t="s">
        <v>90</v>
      </c>
      <c r="J4" s="227" t="s">
        <v>14</v>
      </c>
      <c r="K4" s="168" t="s">
        <v>6</v>
      </c>
    </row>
    <row r="5" spans="1:31" ht="15" customHeight="1">
      <c r="A5" s="144" t="s">
        <v>265</v>
      </c>
      <c r="B5" s="76"/>
      <c r="C5" s="170"/>
      <c r="D5" s="96"/>
      <c r="E5" s="97"/>
      <c r="F5" s="97"/>
      <c r="G5" s="97"/>
      <c r="H5" s="97"/>
      <c r="I5" s="98"/>
      <c r="J5" s="228"/>
      <c r="K5" s="143"/>
      <c r="L5" s="74"/>
      <c r="M5" s="74"/>
      <c r="N5" s="74"/>
      <c r="O5" s="74"/>
    </row>
    <row r="6" spans="1:31" ht="18.75" customHeight="1">
      <c r="A6" s="67">
        <v>1.1000000000000001</v>
      </c>
      <c r="B6" s="91" t="s">
        <v>18</v>
      </c>
      <c r="C6" s="64" t="str">
        <f>"0912-7LEK-B"&amp;A6&amp;"-"&amp;UPPER(LEFT(B6,1))</f>
        <v>0912-7LEK-B1,1-A</v>
      </c>
      <c r="D6" s="92" t="s">
        <v>231</v>
      </c>
      <c r="E6" s="93">
        <v>225</v>
      </c>
      <c r="F6" s="93">
        <v>75</v>
      </c>
      <c r="G6" s="93">
        <v>60</v>
      </c>
      <c r="H6" s="93">
        <v>90</v>
      </c>
      <c r="I6" s="169">
        <v>0</v>
      </c>
      <c r="J6" s="229">
        <v>425</v>
      </c>
      <c r="K6" s="101">
        <v>17</v>
      </c>
      <c r="L6" s="132"/>
      <c r="M6" s="74"/>
      <c r="N6" s="74"/>
      <c r="O6" s="74"/>
    </row>
    <row r="7" spans="1:31" ht="18.75" customHeight="1">
      <c r="A7" s="66">
        <v>1.2</v>
      </c>
      <c r="B7" s="68" t="s">
        <v>20</v>
      </c>
      <c r="C7" s="7" t="str">
        <f>"0912-7LEK-B"&amp;A7&amp;"-"&amp;UPPER(LEFT(B7,1))</f>
        <v>0912-7LEK-B1,2-H</v>
      </c>
      <c r="D7" s="78" t="s">
        <v>231</v>
      </c>
      <c r="E7" s="79">
        <v>105</v>
      </c>
      <c r="F7" s="79">
        <v>35</v>
      </c>
      <c r="G7" s="79">
        <v>35</v>
      </c>
      <c r="H7" s="79">
        <v>35</v>
      </c>
      <c r="I7" s="173">
        <v>0</v>
      </c>
      <c r="J7" s="230">
        <v>250</v>
      </c>
      <c r="K7" s="102">
        <v>10</v>
      </c>
      <c r="L7" s="74"/>
      <c r="M7" s="74"/>
      <c r="N7" s="74"/>
      <c r="O7" s="74"/>
    </row>
    <row r="8" spans="1:31" ht="18.75" customHeight="1">
      <c r="A8" s="753" t="s">
        <v>9</v>
      </c>
      <c r="B8" s="754"/>
      <c r="C8" s="754"/>
      <c r="D8" s="755"/>
      <c r="E8" s="90">
        <f t="shared" ref="E8:K8" si="0">SUM(E6:E7)</f>
        <v>330</v>
      </c>
      <c r="F8" s="90">
        <f t="shared" si="0"/>
        <v>110</v>
      </c>
      <c r="G8" s="90">
        <f t="shared" si="0"/>
        <v>95</v>
      </c>
      <c r="H8" s="90">
        <f t="shared" si="0"/>
        <v>125</v>
      </c>
      <c r="I8" s="90">
        <f t="shared" si="0"/>
        <v>0</v>
      </c>
      <c r="J8" s="231">
        <f t="shared" si="0"/>
        <v>675</v>
      </c>
      <c r="K8" s="90">
        <f t="shared" si="0"/>
        <v>27</v>
      </c>
      <c r="L8" s="74"/>
      <c r="M8" s="74"/>
      <c r="N8" s="74"/>
      <c r="O8" s="74"/>
    </row>
    <row r="9" spans="1:31" ht="18.75" customHeight="1">
      <c r="A9" s="807" t="s">
        <v>266</v>
      </c>
      <c r="B9" s="808"/>
      <c r="C9" s="808"/>
      <c r="D9" s="808"/>
      <c r="E9" s="808"/>
      <c r="F9" s="808"/>
      <c r="G9" s="808"/>
      <c r="H9" s="808"/>
      <c r="I9" s="808"/>
      <c r="J9" s="808"/>
      <c r="K9" s="809"/>
      <c r="L9" s="74"/>
      <c r="M9" s="74"/>
      <c r="N9" s="74"/>
      <c r="O9" s="74"/>
    </row>
    <row r="10" spans="1:31" ht="18.75" customHeight="1">
      <c r="A10" s="815" t="s">
        <v>18</v>
      </c>
      <c r="B10" s="816"/>
      <c r="C10" s="816"/>
      <c r="D10" s="816"/>
      <c r="E10" s="816"/>
      <c r="F10" s="816"/>
      <c r="G10" s="816"/>
      <c r="H10" s="816"/>
      <c r="I10" s="816"/>
      <c r="J10" s="816"/>
      <c r="K10" s="817"/>
      <c r="L10" s="74"/>
      <c r="M10" s="74"/>
      <c r="N10" s="74"/>
      <c r="O10" s="74"/>
    </row>
    <row r="11" spans="1:31" ht="18.75" customHeight="1">
      <c r="A11" s="66"/>
      <c r="B11" s="105" t="s">
        <v>112</v>
      </c>
      <c r="C11" s="7" t="s">
        <v>269</v>
      </c>
      <c r="D11" s="78" t="s">
        <v>272</v>
      </c>
      <c r="E11" s="175"/>
      <c r="F11" s="175"/>
      <c r="G11" s="175"/>
      <c r="H11" s="175"/>
      <c r="I11" s="168"/>
      <c r="J11" s="232"/>
      <c r="K11" s="176">
        <v>1</v>
      </c>
      <c r="L11" s="74"/>
      <c r="M11" s="74"/>
      <c r="N11" s="74"/>
      <c r="O11" s="74"/>
    </row>
    <row r="12" spans="1:31" ht="18.75" customHeight="1">
      <c r="A12" s="66"/>
      <c r="B12" s="105" t="s">
        <v>121</v>
      </c>
      <c r="C12" s="7" t="s">
        <v>270</v>
      </c>
      <c r="D12" s="78" t="s">
        <v>272</v>
      </c>
      <c r="E12" s="175"/>
      <c r="F12" s="175"/>
      <c r="G12" s="175"/>
      <c r="H12" s="175"/>
      <c r="I12" s="174"/>
      <c r="J12" s="232"/>
      <c r="K12" s="176">
        <v>1</v>
      </c>
      <c r="L12" s="74"/>
      <c r="M12" s="74"/>
      <c r="N12" s="74"/>
      <c r="O12" s="74"/>
    </row>
    <row r="13" spans="1:31" ht="18.75" customHeight="1">
      <c r="A13" s="818" t="s">
        <v>20</v>
      </c>
      <c r="B13" s="819"/>
      <c r="C13" s="819"/>
      <c r="D13" s="819"/>
      <c r="E13" s="819"/>
      <c r="F13" s="819"/>
      <c r="G13" s="819"/>
      <c r="H13" s="819"/>
      <c r="I13" s="819"/>
      <c r="J13" s="819"/>
      <c r="K13" s="820"/>
      <c r="L13" s="74"/>
      <c r="M13" s="74"/>
      <c r="N13" s="74"/>
      <c r="O13" s="74"/>
    </row>
    <row r="14" spans="1:31" ht="18.75" customHeight="1">
      <c r="A14" s="66"/>
      <c r="B14" s="105" t="s">
        <v>116</v>
      </c>
      <c r="C14" s="7" t="s">
        <v>267</v>
      </c>
      <c r="D14" s="78" t="s">
        <v>232</v>
      </c>
      <c r="E14" s="175"/>
      <c r="F14" s="175"/>
      <c r="G14" s="175"/>
      <c r="H14" s="175"/>
      <c r="I14" s="174"/>
      <c r="J14" s="232"/>
      <c r="K14" s="176">
        <v>1</v>
      </c>
      <c r="L14" s="74"/>
      <c r="M14" s="74"/>
      <c r="N14" s="74"/>
      <c r="O14" s="74"/>
    </row>
    <row r="15" spans="1:31" ht="18.75" customHeight="1">
      <c r="A15" s="66"/>
      <c r="B15" s="105" t="s">
        <v>177</v>
      </c>
      <c r="C15" s="7" t="s">
        <v>268</v>
      </c>
      <c r="D15" s="78" t="s">
        <v>232</v>
      </c>
      <c r="E15" s="175"/>
      <c r="F15" s="175"/>
      <c r="G15" s="175"/>
      <c r="H15" s="175"/>
      <c r="I15" s="174"/>
      <c r="J15" s="232"/>
      <c r="K15" s="176">
        <v>1</v>
      </c>
      <c r="L15" s="74"/>
      <c r="M15" s="74"/>
      <c r="N15" s="74"/>
      <c r="O15" s="74"/>
    </row>
    <row r="16" spans="1:31" ht="18.75" customHeight="1">
      <c r="A16" s="821" t="s">
        <v>274</v>
      </c>
      <c r="B16" s="822"/>
      <c r="C16" s="822"/>
      <c r="D16" s="822"/>
      <c r="E16" s="822"/>
      <c r="F16" s="822"/>
      <c r="G16" s="822"/>
      <c r="H16" s="822"/>
      <c r="I16" s="822"/>
      <c r="J16" s="822"/>
      <c r="K16" s="823"/>
      <c r="L16" s="74"/>
      <c r="M16" s="74"/>
      <c r="N16" s="74"/>
      <c r="O16" s="74"/>
    </row>
    <row r="17" spans="1:51" ht="18.75" customHeight="1">
      <c r="A17" s="812" t="s">
        <v>273</v>
      </c>
      <c r="B17" s="813"/>
      <c r="C17" s="813"/>
      <c r="D17" s="813"/>
      <c r="E17" s="813"/>
      <c r="F17" s="813"/>
      <c r="G17" s="813"/>
      <c r="H17" s="813"/>
      <c r="I17" s="813"/>
      <c r="J17" s="813"/>
      <c r="K17" s="814"/>
      <c r="L17" s="74"/>
      <c r="M17" s="74"/>
      <c r="N17" s="74"/>
      <c r="O17" s="74"/>
    </row>
    <row r="18" spans="1:51" ht="15.75">
      <c r="A18" s="66"/>
      <c r="B18" s="68"/>
      <c r="C18" s="7"/>
      <c r="D18" s="78"/>
      <c r="E18" s="175"/>
      <c r="F18" s="175"/>
      <c r="G18" s="175"/>
      <c r="H18" s="175"/>
      <c r="I18" s="168"/>
      <c r="J18" s="232"/>
      <c r="K18" s="246">
        <v>2</v>
      </c>
      <c r="L18" s="74">
        <v>2</v>
      </c>
      <c r="M18" s="74"/>
      <c r="N18" s="74"/>
      <c r="O18" s="74"/>
    </row>
    <row r="19" spans="1:51" ht="15.75">
      <c r="A19" s="186"/>
      <c r="B19" s="211" t="s">
        <v>282</v>
      </c>
      <c r="C19" s="188"/>
      <c r="D19" s="189"/>
      <c r="E19" s="190"/>
      <c r="F19" s="190"/>
      <c r="G19" s="190"/>
      <c r="H19" s="190"/>
      <c r="I19" s="191"/>
      <c r="J19" s="233"/>
      <c r="K19" s="247">
        <v>29</v>
      </c>
      <c r="L19" s="74" t="s">
        <v>288</v>
      </c>
      <c r="M19" s="74"/>
      <c r="N19" s="74"/>
      <c r="O19" s="74"/>
    </row>
    <row r="20" spans="1:51">
      <c r="A20" s="746" t="s">
        <v>23</v>
      </c>
      <c r="B20" s="747"/>
      <c r="C20" s="747"/>
      <c r="D20" s="747"/>
      <c r="E20" s="747"/>
      <c r="F20" s="747"/>
      <c r="G20" s="747"/>
      <c r="H20" s="747"/>
      <c r="I20" s="747"/>
      <c r="J20" s="747"/>
      <c r="K20" s="748"/>
    </row>
    <row r="21" spans="1:51" ht="18.75" customHeight="1">
      <c r="A21" s="67">
        <v>2.1</v>
      </c>
      <c r="B21" s="91" t="s">
        <v>35</v>
      </c>
      <c r="C21" s="64" t="str">
        <f>"0912-7LEK-B"&amp;A21&amp;"-"&amp;UPPER(LEFT(B21,1))&amp;"f"</f>
        <v>0912-7LEK-B2,1-Bf</v>
      </c>
      <c r="D21" s="92">
        <v>4</v>
      </c>
      <c r="E21" s="93">
        <v>50</v>
      </c>
      <c r="F21" s="93">
        <v>20</v>
      </c>
      <c r="G21" s="93">
        <v>15</v>
      </c>
      <c r="H21" s="93">
        <v>0</v>
      </c>
      <c r="I21" s="93">
        <v>15</v>
      </c>
      <c r="J21" s="234">
        <v>75</v>
      </c>
      <c r="K21" s="93">
        <v>3</v>
      </c>
    </row>
    <row r="22" spans="1:51" ht="18.75" customHeight="1">
      <c r="A22" s="66">
        <v>2.2000000000000002</v>
      </c>
      <c r="B22" s="68" t="s">
        <v>36</v>
      </c>
      <c r="C22" s="7" t="str">
        <f>"0912-7LEK-B"&amp;A22&amp;"-"&amp;UPPER(LEFT(B22,1))&amp;"BK"</f>
        <v>0912-7LEK-B2,2-PBK</v>
      </c>
      <c r="D22" s="78">
        <v>2</v>
      </c>
      <c r="E22" s="79">
        <v>60</v>
      </c>
      <c r="F22" s="79">
        <v>30</v>
      </c>
      <c r="G22" s="79">
        <v>0</v>
      </c>
      <c r="H22" s="79">
        <v>0</v>
      </c>
      <c r="I22" s="79">
        <v>30</v>
      </c>
      <c r="J22" s="235">
        <v>100</v>
      </c>
      <c r="K22" s="79">
        <v>4</v>
      </c>
    </row>
    <row r="23" spans="1:51" ht="15.75">
      <c r="A23" s="66">
        <v>2.2999999999999998</v>
      </c>
      <c r="B23" s="68" t="s">
        <v>37</v>
      </c>
      <c r="C23" s="7" t="str">
        <f>"0912-7LEK-B"&amp;A23&amp;"-"&amp;UPPER(LEFT(B23,1))</f>
        <v>0912-7LEK-B2,3-C</v>
      </c>
      <c r="D23" s="78">
        <v>1</v>
      </c>
      <c r="E23" s="79">
        <v>35</v>
      </c>
      <c r="F23" s="79">
        <v>15</v>
      </c>
      <c r="G23" s="79">
        <v>0</v>
      </c>
      <c r="H23" s="79">
        <v>0</v>
      </c>
      <c r="I23" s="79">
        <v>20</v>
      </c>
      <c r="J23" s="235">
        <v>75</v>
      </c>
      <c r="K23" s="79">
        <v>3</v>
      </c>
    </row>
    <row r="24" spans="1:51" ht="18.75" customHeight="1">
      <c r="A24" s="66">
        <v>2.4</v>
      </c>
      <c r="B24" s="84" t="s">
        <v>38</v>
      </c>
      <c r="C24" s="7" t="str">
        <f>"0912-7LEK-B"&amp;A24&amp;"-"&amp;UPPER(LEFT(B24,1))&amp;"ch"</f>
        <v>0912-7LEK-B2,4-Bch</v>
      </c>
      <c r="D24" s="78">
        <v>3</v>
      </c>
      <c r="E24" s="79">
        <v>60</v>
      </c>
      <c r="F24" s="79">
        <v>30</v>
      </c>
      <c r="G24" s="79">
        <v>0</v>
      </c>
      <c r="H24" s="79">
        <v>0</v>
      </c>
      <c r="I24" s="79">
        <v>30</v>
      </c>
      <c r="J24" s="235">
        <v>125</v>
      </c>
      <c r="K24" s="79">
        <v>5</v>
      </c>
      <c r="U24" s="608"/>
      <c r="V24" s="609"/>
      <c r="W24" s="609"/>
      <c r="X24" s="609"/>
      <c r="Y24" s="609"/>
      <c r="Z24" s="609"/>
      <c r="AA24" s="609"/>
      <c r="AB24" s="609"/>
      <c r="AC24" s="609"/>
      <c r="AD24" s="609"/>
      <c r="AE24" s="609"/>
      <c r="AF24" s="609"/>
      <c r="AG24" s="609"/>
      <c r="AH24" s="609"/>
      <c r="AI24" s="609"/>
      <c r="AJ24" s="609"/>
      <c r="AK24" s="609"/>
      <c r="AL24" s="609"/>
      <c r="AM24" s="609"/>
      <c r="AN24" s="609"/>
      <c r="AO24" s="609"/>
      <c r="AP24" s="609"/>
      <c r="AQ24" s="609"/>
      <c r="AR24" s="609"/>
      <c r="AS24" s="609"/>
      <c r="AT24" s="609"/>
      <c r="AU24" s="609"/>
      <c r="AV24" s="609"/>
      <c r="AW24" s="609"/>
      <c r="AX24" s="609"/>
      <c r="AY24" s="609"/>
    </row>
    <row r="25" spans="1:51" ht="18.75" customHeight="1">
      <c r="A25" s="66">
        <v>2.5</v>
      </c>
      <c r="B25" s="68" t="s">
        <v>39</v>
      </c>
      <c r="C25" s="7" t="str">
        <f>"0912-7LEK-B"&amp;A25&amp;"-"&amp;UPPER(LEFT(B25,1))&amp;"zC"</f>
        <v>0912-7LEK-B2,5-FzC</v>
      </c>
      <c r="D25" s="78" t="s">
        <v>242</v>
      </c>
      <c r="E25" s="79">
        <v>160</v>
      </c>
      <c r="F25" s="79">
        <v>50</v>
      </c>
      <c r="G25" s="79">
        <v>50</v>
      </c>
      <c r="H25" s="79">
        <v>0</v>
      </c>
      <c r="I25" s="79">
        <v>60</v>
      </c>
      <c r="J25" s="235">
        <v>350</v>
      </c>
      <c r="K25" s="79">
        <v>14</v>
      </c>
      <c r="U25" s="622"/>
      <c r="V25" s="622"/>
      <c r="W25" s="50"/>
      <c r="X25" s="12"/>
      <c r="Y25" s="48"/>
      <c r="Z25" s="48"/>
      <c r="AA25" s="48"/>
      <c r="AB25" s="624"/>
      <c r="AC25" s="624"/>
      <c r="AD25" s="624"/>
      <c r="AE25" s="624"/>
      <c r="AF25" s="624"/>
      <c r="AG25" s="624"/>
      <c r="AH25" s="624"/>
      <c r="AI25" s="624"/>
      <c r="AJ25" s="624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1:51" ht="23.25">
      <c r="A26" s="66">
        <v>2.6</v>
      </c>
      <c r="B26" s="68" t="s">
        <v>40</v>
      </c>
      <c r="C26" s="7" t="str">
        <f>"0912-7LEK-B"&amp;A26&amp;"-"&amp;UPPER(LEFT(B26,1))&amp;""</f>
        <v>0912-7LEK-B2,6-P</v>
      </c>
      <c r="D26" s="78" t="s">
        <v>243</v>
      </c>
      <c r="E26" s="79">
        <v>90</v>
      </c>
      <c r="F26" s="79">
        <v>40</v>
      </c>
      <c r="G26" s="79">
        <v>50</v>
      </c>
      <c r="H26" s="79">
        <v>0</v>
      </c>
      <c r="I26" s="79">
        <v>0</v>
      </c>
      <c r="J26" s="235">
        <v>175</v>
      </c>
      <c r="K26" s="79">
        <v>7</v>
      </c>
      <c r="U26" s="623"/>
      <c r="V26" s="623"/>
      <c r="W26" s="51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1:51" ht="18.75" customHeight="1">
      <c r="A27" s="66">
        <v>2.7</v>
      </c>
      <c r="B27" s="68" t="s">
        <v>93</v>
      </c>
      <c r="C27" s="7" t="str">
        <f>"0912-7LEK-B"&amp;A27&amp;"-"&amp;UPPER(LEFT(B27,1))&amp;"zI"</f>
        <v>0912-7LEK-B2,7-BzI</v>
      </c>
      <c r="D27" s="78" t="s">
        <v>231</v>
      </c>
      <c r="E27" s="79">
        <v>80</v>
      </c>
      <c r="F27" s="79">
        <v>30</v>
      </c>
      <c r="G27" s="79">
        <v>50</v>
      </c>
      <c r="H27" s="79">
        <v>0</v>
      </c>
      <c r="I27" s="79">
        <v>0</v>
      </c>
      <c r="J27" s="235">
        <v>125</v>
      </c>
      <c r="K27" s="79">
        <v>5</v>
      </c>
    </row>
    <row r="28" spans="1:51" ht="18.75" customHeight="1">
      <c r="A28" s="66">
        <v>2.8</v>
      </c>
      <c r="B28" s="68" t="s">
        <v>91</v>
      </c>
      <c r="C28" s="7" t="str">
        <f>"0912-7LEK-B"&amp;A28&amp;"-"&amp;UPPER(LEFT(B28,1))&amp;"P"</f>
        <v>0912-7LEK-B2,8-PP</v>
      </c>
      <c r="D28" s="78">
        <v>2</v>
      </c>
      <c r="E28" s="79">
        <v>35</v>
      </c>
      <c r="F28" s="79">
        <v>0</v>
      </c>
      <c r="G28" s="79">
        <v>15</v>
      </c>
      <c r="H28" s="79">
        <v>20</v>
      </c>
      <c r="I28" s="79">
        <v>0</v>
      </c>
      <c r="J28" s="235">
        <v>50</v>
      </c>
      <c r="K28" s="79">
        <v>2</v>
      </c>
    </row>
    <row r="29" spans="1:51" ht="15" customHeight="1">
      <c r="A29" s="824" t="s">
        <v>9</v>
      </c>
      <c r="B29" s="825"/>
      <c r="C29" s="825"/>
      <c r="D29" s="826"/>
      <c r="E29" s="90">
        <f>SUM(E21:E28)</f>
        <v>570</v>
      </c>
      <c r="F29" s="90">
        <f t="shared" ref="F29:K29" si="1">SUM(F21:F28)</f>
        <v>215</v>
      </c>
      <c r="G29" s="90">
        <f t="shared" si="1"/>
        <v>180</v>
      </c>
      <c r="H29" s="90">
        <f t="shared" si="1"/>
        <v>20</v>
      </c>
      <c r="I29" s="90">
        <f t="shared" si="1"/>
        <v>155</v>
      </c>
      <c r="J29" s="231">
        <f t="shared" si="1"/>
        <v>1075</v>
      </c>
      <c r="K29" s="90">
        <f t="shared" si="1"/>
        <v>43</v>
      </c>
    </row>
    <row r="30" spans="1:51" ht="15" customHeight="1">
      <c r="A30" s="807" t="s">
        <v>266</v>
      </c>
      <c r="B30" s="808"/>
      <c r="C30" s="808"/>
      <c r="D30" s="808"/>
      <c r="E30" s="808"/>
      <c r="F30" s="808"/>
      <c r="G30" s="808"/>
      <c r="H30" s="808"/>
      <c r="I30" s="808"/>
      <c r="J30" s="808"/>
      <c r="K30" s="809"/>
    </row>
    <row r="31" spans="1:51" ht="15" customHeight="1">
      <c r="A31" s="66"/>
      <c r="B31" s="184" t="s">
        <v>35</v>
      </c>
      <c r="C31" s="82"/>
      <c r="D31" s="78"/>
      <c r="E31" s="175"/>
      <c r="F31" s="175"/>
      <c r="G31" s="175"/>
      <c r="H31" s="175"/>
      <c r="I31" s="168"/>
      <c r="J31" s="232"/>
      <c r="K31" s="176"/>
    </row>
    <row r="32" spans="1:51" ht="15" customHeight="1">
      <c r="B32" s="85" t="s">
        <v>134</v>
      </c>
      <c r="C32" s="7"/>
      <c r="D32" s="78" t="s">
        <v>139</v>
      </c>
      <c r="E32" s="175">
        <v>15</v>
      </c>
      <c r="F32" s="175">
        <v>15</v>
      </c>
      <c r="G32" s="175"/>
      <c r="H32" s="175"/>
      <c r="I32" s="177"/>
      <c r="J32" s="232">
        <v>25</v>
      </c>
      <c r="K32" s="176"/>
    </row>
    <row r="33" spans="1:11" ht="15" customHeight="1">
      <c r="B33" s="195" t="s">
        <v>39</v>
      </c>
      <c r="C33" s="7"/>
      <c r="D33" s="78"/>
      <c r="E33" s="175"/>
      <c r="F33" s="175"/>
      <c r="G33" s="175"/>
      <c r="H33" s="175"/>
      <c r="I33" s="177"/>
      <c r="J33" s="232"/>
      <c r="K33" s="176"/>
    </row>
    <row r="34" spans="1:11" ht="15" customHeight="1">
      <c r="B34" s="106" t="s">
        <v>277</v>
      </c>
      <c r="C34" s="7"/>
      <c r="D34" s="78" t="s">
        <v>139</v>
      </c>
      <c r="E34" s="175">
        <v>15</v>
      </c>
      <c r="F34" s="175">
        <v>15</v>
      </c>
      <c r="G34" s="175"/>
      <c r="H34" s="175"/>
      <c r="I34" s="177"/>
      <c r="J34" s="232">
        <v>25</v>
      </c>
      <c r="K34" s="176"/>
    </row>
    <row r="35" spans="1:11" ht="15" customHeight="1">
      <c r="A35" s="186"/>
      <c r="B35" s="85" t="s">
        <v>278</v>
      </c>
      <c r="C35" s="7"/>
      <c r="D35" s="78" t="s">
        <v>139</v>
      </c>
      <c r="E35" s="175">
        <v>15</v>
      </c>
      <c r="F35" s="175">
        <v>15</v>
      </c>
      <c r="G35" s="175"/>
      <c r="H35" s="175"/>
      <c r="I35" s="177"/>
      <c r="J35" s="232">
        <v>25</v>
      </c>
      <c r="K35" s="176"/>
    </row>
    <row r="36" spans="1:11" ht="15" customHeight="1">
      <c r="A36" s="66"/>
      <c r="B36" s="68" t="s">
        <v>36</v>
      </c>
      <c r="C36" s="7"/>
      <c r="D36" s="78"/>
      <c r="E36" s="175"/>
      <c r="F36" s="175"/>
      <c r="G36" s="175"/>
      <c r="H36" s="175"/>
      <c r="I36" s="177"/>
      <c r="J36" s="232"/>
      <c r="K36" s="176"/>
    </row>
    <row r="37" spans="1:11" ht="15" customHeight="1">
      <c r="A37" s="66"/>
      <c r="B37" s="105" t="s">
        <v>114</v>
      </c>
      <c r="C37" s="7" t="s">
        <v>271</v>
      </c>
      <c r="D37" s="78" t="s">
        <v>233</v>
      </c>
      <c r="E37" s="175">
        <v>15</v>
      </c>
      <c r="F37" s="175">
        <v>15</v>
      </c>
      <c r="G37" s="175"/>
      <c r="H37" s="175"/>
      <c r="I37" s="168"/>
      <c r="J37" s="232">
        <v>25</v>
      </c>
      <c r="K37" s="176"/>
    </row>
    <row r="38" spans="1:11" ht="15" customHeight="1">
      <c r="A38" s="186"/>
      <c r="B38" s="248" t="s">
        <v>127</v>
      </c>
      <c r="C38" s="7"/>
      <c r="D38" s="78" t="s">
        <v>234</v>
      </c>
      <c r="E38" s="175">
        <v>15</v>
      </c>
      <c r="F38" s="175">
        <v>15</v>
      </c>
      <c r="G38" s="175"/>
      <c r="H38" s="175"/>
      <c r="I38" s="198"/>
      <c r="J38" s="232">
        <v>25</v>
      </c>
      <c r="K38" s="176"/>
    </row>
    <row r="39" spans="1:11" ht="15" customHeight="1">
      <c r="A39" s="186"/>
      <c r="B39" s="194" t="s">
        <v>40</v>
      </c>
      <c r="C39" s="7"/>
      <c r="D39" s="78"/>
      <c r="E39" s="79"/>
      <c r="F39" s="79"/>
      <c r="G39" s="79"/>
      <c r="H39" s="79"/>
      <c r="I39" s="181"/>
      <c r="J39" s="230"/>
      <c r="K39" s="102"/>
    </row>
    <row r="40" spans="1:11" ht="15" customHeight="1">
      <c r="A40" s="186"/>
      <c r="B40" s="196" t="s">
        <v>179</v>
      </c>
      <c r="C40" s="250">
        <v>5</v>
      </c>
      <c r="D40" s="78"/>
      <c r="E40" s="79">
        <v>15</v>
      </c>
      <c r="F40" s="79">
        <v>15</v>
      </c>
      <c r="G40" s="79"/>
      <c r="H40" s="79"/>
      <c r="I40" s="181"/>
      <c r="J40" s="230">
        <v>25</v>
      </c>
      <c r="K40" s="102"/>
    </row>
    <row r="41" spans="1:11" ht="15" customHeight="1">
      <c r="A41" s="186"/>
      <c r="B41" s="196" t="s">
        <v>280</v>
      </c>
      <c r="C41" s="250">
        <v>6</v>
      </c>
      <c r="D41" s="78"/>
      <c r="E41" s="79">
        <v>15</v>
      </c>
      <c r="F41" s="79">
        <v>15</v>
      </c>
      <c r="G41" s="79"/>
      <c r="H41" s="79"/>
      <c r="I41" s="181"/>
      <c r="J41" s="230">
        <v>25</v>
      </c>
      <c r="K41" s="102"/>
    </row>
    <row r="42" spans="1:11" ht="15" customHeight="1">
      <c r="A42" s="186"/>
      <c r="B42" s="82" t="s">
        <v>187</v>
      </c>
      <c r="C42" s="250">
        <v>5</v>
      </c>
      <c r="D42" s="78"/>
      <c r="E42" s="79">
        <v>15</v>
      </c>
      <c r="F42" s="79">
        <v>15</v>
      </c>
      <c r="G42" s="79"/>
      <c r="H42" s="79"/>
      <c r="I42" s="181"/>
      <c r="J42" s="230">
        <v>25</v>
      </c>
      <c r="K42" s="102"/>
    </row>
    <row r="43" spans="1:11" ht="15" customHeight="1">
      <c r="A43" s="186"/>
      <c r="B43" s="827" t="s">
        <v>37</v>
      </c>
      <c r="C43" s="828"/>
      <c r="D43" s="189"/>
      <c r="E43" s="190"/>
      <c r="F43" s="190"/>
      <c r="G43" s="190"/>
      <c r="H43" s="190"/>
      <c r="I43" s="191"/>
      <c r="J43" s="233"/>
      <c r="K43" s="192"/>
    </row>
    <row r="44" spans="1:11" ht="15" customHeight="1">
      <c r="A44" s="186"/>
      <c r="B44" s="106" t="s">
        <v>113</v>
      </c>
      <c r="C44" s="7"/>
      <c r="D44" s="78" t="s">
        <v>232</v>
      </c>
      <c r="E44" s="79">
        <v>15</v>
      </c>
      <c r="F44" s="79">
        <v>15</v>
      </c>
      <c r="G44" s="79"/>
      <c r="H44" s="79"/>
      <c r="I44" s="201"/>
      <c r="J44" s="230">
        <v>25</v>
      </c>
      <c r="K44" s="102"/>
    </row>
    <row r="45" spans="1:11" ht="15" customHeight="1">
      <c r="A45" s="186"/>
      <c r="B45" s="187"/>
      <c r="C45" s="7"/>
      <c r="D45" s="78"/>
      <c r="E45" s="79"/>
      <c r="F45" s="79"/>
      <c r="G45" s="79"/>
      <c r="H45" s="79"/>
      <c r="I45" s="201"/>
      <c r="J45" s="230"/>
      <c r="K45" s="102"/>
    </row>
    <row r="46" spans="1:11" ht="15" customHeight="1">
      <c r="A46" s="186"/>
      <c r="B46" s="187"/>
      <c r="C46" s="188"/>
      <c r="D46" s="189"/>
      <c r="E46" s="190"/>
      <c r="F46" s="190"/>
      <c r="G46" s="190"/>
      <c r="H46" s="190"/>
      <c r="I46" s="191"/>
      <c r="J46" s="233"/>
      <c r="K46" s="192"/>
    </row>
    <row r="47" spans="1:11">
      <c r="A47" s="746" t="s">
        <v>24</v>
      </c>
      <c r="B47" s="747"/>
      <c r="C47" s="747"/>
      <c r="D47" s="747"/>
      <c r="E47" s="747"/>
      <c r="F47" s="747"/>
      <c r="G47" s="747"/>
      <c r="H47" s="747"/>
      <c r="I47" s="747"/>
      <c r="J47" s="747"/>
      <c r="K47" s="748"/>
    </row>
    <row r="48" spans="1:11" ht="14.25" customHeight="1">
      <c r="A48" s="67">
        <v>3.1</v>
      </c>
      <c r="B48" s="91" t="s">
        <v>41</v>
      </c>
      <c r="C48" s="64" t="str">
        <f t="shared" ref="C48:C53" si="2">"0912-7LEK-C"&amp;A48&amp;"-"&amp;UPPER(LEFT(B48,1))</f>
        <v>0912-7LEK-C3,1-G</v>
      </c>
      <c r="D48" s="92">
        <v>3</v>
      </c>
      <c r="E48" s="93">
        <v>45</v>
      </c>
      <c r="F48" s="93">
        <v>15</v>
      </c>
      <c r="G48" s="93">
        <v>30</v>
      </c>
      <c r="H48" s="93">
        <v>0</v>
      </c>
      <c r="I48" s="93">
        <v>0</v>
      </c>
      <c r="J48" s="234">
        <v>100</v>
      </c>
      <c r="K48" s="93">
        <v>4</v>
      </c>
    </row>
    <row r="49" spans="1:11" ht="15.75">
      <c r="A49" s="66">
        <v>3.2</v>
      </c>
      <c r="B49" s="68" t="s">
        <v>42</v>
      </c>
      <c r="C49" s="7" t="str">
        <f t="shared" si="2"/>
        <v>0912-7LEK-C3,2-M</v>
      </c>
      <c r="D49" s="78" t="s">
        <v>242</v>
      </c>
      <c r="E49" s="79">
        <v>100</v>
      </c>
      <c r="F49" s="79">
        <v>20</v>
      </c>
      <c r="G49" s="79">
        <v>40</v>
      </c>
      <c r="H49" s="79">
        <v>0</v>
      </c>
      <c r="I49" s="79">
        <v>40</v>
      </c>
      <c r="J49" s="235">
        <v>200</v>
      </c>
      <c r="K49" s="79">
        <v>8</v>
      </c>
    </row>
    <row r="50" spans="1:11" ht="15.75">
      <c r="A50" s="66">
        <v>3.3</v>
      </c>
      <c r="B50" s="68" t="s">
        <v>43</v>
      </c>
      <c r="C50" s="7" t="str">
        <f t="shared" si="2"/>
        <v>0912-7LEK-C3,3-P</v>
      </c>
      <c r="D50" s="78">
        <v>4</v>
      </c>
      <c r="E50" s="79">
        <v>45</v>
      </c>
      <c r="F50" s="79">
        <v>15</v>
      </c>
      <c r="G50" s="79">
        <v>15</v>
      </c>
      <c r="H50" s="79">
        <v>0</v>
      </c>
      <c r="I50" s="79">
        <v>15</v>
      </c>
      <c r="J50" s="235">
        <v>75</v>
      </c>
      <c r="K50" s="79">
        <v>3</v>
      </c>
    </row>
    <row r="51" spans="1:11" ht="15.75">
      <c r="A51" s="66">
        <v>3.4</v>
      </c>
      <c r="B51" s="68" t="s">
        <v>44</v>
      </c>
      <c r="C51" s="7" t="str">
        <f t="shared" si="2"/>
        <v>0912-7LEK-C3,4-I</v>
      </c>
      <c r="D51" s="78" t="s">
        <v>234</v>
      </c>
      <c r="E51" s="79">
        <v>45</v>
      </c>
      <c r="F51" s="79">
        <v>15</v>
      </c>
      <c r="G51" s="79">
        <v>10</v>
      </c>
      <c r="H51" s="79">
        <v>0</v>
      </c>
      <c r="I51" s="79">
        <v>20</v>
      </c>
      <c r="J51" s="235">
        <v>75</v>
      </c>
      <c r="K51" s="79">
        <v>3</v>
      </c>
    </row>
    <row r="52" spans="1:11" ht="15.75">
      <c r="A52" s="66">
        <v>3.5</v>
      </c>
      <c r="B52" s="68" t="s">
        <v>45</v>
      </c>
      <c r="C52" s="7" t="str">
        <f t="shared" si="2"/>
        <v>0912-7LEK-C3,5-P</v>
      </c>
      <c r="D52" s="78" t="s">
        <v>243</v>
      </c>
      <c r="E52" s="79">
        <v>135</v>
      </c>
      <c r="F52" s="79">
        <v>45</v>
      </c>
      <c r="G52" s="79">
        <v>90</v>
      </c>
      <c r="H52" s="79">
        <v>0</v>
      </c>
      <c r="I52" s="79">
        <v>0</v>
      </c>
      <c r="J52" s="235">
        <v>275</v>
      </c>
      <c r="K52" s="79">
        <v>11</v>
      </c>
    </row>
    <row r="53" spans="1:11" ht="15.75">
      <c r="A53" s="66">
        <v>3.6</v>
      </c>
      <c r="B53" s="68" t="s">
        <v>46</v>
      </c>
      <c r="C53" s="7" t="str">
        <f t="shared" si="2"/>
        <v>0912-7LEK-C3,6-F</v>
      </c>
      <c r="D53" s="78" t="s">
        <v>243</v>
      </c>
      <c r="E53" s="79">
        <v>130</v>
      </c>
      <c r="F53" s="79">
        <v>50</v>
      </c>
      <c r="G53" s="79">
        <v>80</v>
      </c>
      <c r="H53" s="79">
        <v>0</v>
      </c>
      <c r="I53" s="79">
        <v>0</v>
      </c>
      <c r="J53" s="235">
        <v>250</v>
      </c>
      <c r="K53" s="79">
        <v>10</v>
      </c>
    </row>
    <row r="54" spans="1:11">
      <c r="A54" s="753" t="s">
        <v>9</v>
      </c>
      <c r="B54" s="754"/>
      <c r="C54" s="754"/>
      <c r="D54" s="755"/>
      <c r="E54" s="90">
        <f>SUM(E48:E53)</f>
        <v>500</v>
      </c>
      <c r="F54" s="90">
        <f t="shared" ref="F54:K54" si="3">SUM(F48:F53)</f>
        <v>160</v>
      </c>
      <c r="G54" s="90">
        <f t="shared" si="3"/>
        <v>265</v>
      </c>
      <c r="H54" s="90">
        <f t="shared" si="3"/>
        <v>0</v>
      </c>
      <c r="I54" s="90">
        <f t="shared" si="3"/>
        <v>75</v>
      </c>
      <c r="J54" s="231">
        <f t="shared" si="3"/>
        <v>975</v>
      </c>
      <c r="K54" s="90">
        <f t="shared" si="3"/>
        <v>39</v>
      </c>
    </row>
    <row r="55" spans="1:11" ht="15" customHeight="1">
      <c r="A55" s="807" t="s">
        <v>266</v>
      </c>
      <c r="B55" s="808"/>
      <c r="C55" s="808"/>
      <c r="D55" s="808"/>
      <c r="E55" s="808"/>
      <c r="F55" s="808"/>
      <c r="G55" s="808"/>
      <c r="H55" s="808"/>
      <c r="I55" s="808"/>
      <c r="J55" s="808"/>
      <c r="K55" s="809"/>
    </row>
    <row r="56" spans="1:11" ht="15" customHeight="1">
      <c r="A56" s="179"/>
      <c r="B56" s="180"/>
      <c r="C56" s="180"/>
      <c r="D56" s="180"/>
      <c r="E56" s="182"/>
      <c r="F56" s="182"/>
      <c r="G56" s="182"/>
      <c r="H56" s="182"/>
      <c r="I56" s="182"/>
      <c r="J56" s="236"/>
      <c r="K56" s="183"/>
    </row>
    <row r="57" spans="1:11" ht="15.75">
      <c r="A57" s="66"/>
      <c r="B57" s="68" t="s">
        <v>41</v>
      </c>
      <c r="C57" s="258"/>
      <c r="D57" s="89"/>
      <c r="E57" s="175"/>
      <c r="F57" s="175"/>
      <c r="G57" s="175"/>
      <c r="H57" s="175"/>
      <c r="I57" s="168"/>
      <c r="J57" s="232"/>
      <c r="K57" s="176"/>
    </row>
    <row r="58" spans="1:11" ht="15.75">
      <c r="A58" s="66"/>
      <c r="B58" s="257" t="s">
        <v>123</v>
      </c>
      <c r="C58" s="256"/>
      <c r="D58" s="260">
        <v>3</v>
      </c>
      <c r="E58" s="256">
        <v>15</v>
      </c>
      <c r="F58" s="79">
        <v>15</v>
      </c>
      <c r="G58" s="79"/>
      <c r="H58" s="79"/>
      <c r="I58" s="177"/>
      <c r="J58" s="232">
        <v>25</v>
      </c>
      <c r="K58" s="176"/>
    </row>
    <row r="59" spans="1:11" ht="15.75">
      <c r="A59" s="66"/>
      <c r="B59" s="257" t="s">
        <v>276</v>
      </c>
      <c r="C59" s="256"/>
      <c r="D59" s="260">
        <v>4</v>
      </c>
      <c r="E59" s="256">
        <v>15</v>
      </c>
      <c r="F59" s="79">
        <v>15</v>
      </c>
      <c r="G59" s="79"/>
      <c r="H59" s="79"/>
      <c r="I59" s="177"/>
      <c r="J59" s="232">
        <v>25</v>
      </c>
      <c r="K59" s="176"/>
    </row>
    <row r="60" spans="1:11" ht="15.75">
      <c r="A60" s="66"/>
      <c r="B60" s="68" t="s">
        <v>42</v>
      </c>
      <c r="C60" s="7"/>
      <c r="D60" s="78"/>
      <c r="E60" s="175"/>
      <c r="F60" s="175"/>
      <c r="G60" s="175"/>
      <c r="H60" s="175"/>
      <c r="I60" s="177"/>
      <c r="J60" s="232"/>
      <c r="K60" s="176"/>
    </row>
    <row r="61" spans="1:11" ht="15.75">
      <c r="A61" s="66"/>
      <c r="B61" s="193" t="s">
        <v>126</v>
      </c>
      <c r="C61" s="245"/>
      <c r="D61" s="78" t="s">
        <v>234</v>
      </c>
      <c r="E61" s="175">
        <v>15</v>
      </c>
      <c r="F61" s="175">
        <v>15</v>
      </c>
      <c r="G61" s="175"/>
      <c r="H61" s="175"/>
      <c r="I61" s="177"/>
      <c r="J61" s="232">
        <v>25</v>
      </c>
      <c r="K61" s="176"/>
    </row>
    <row r="62" spans="1:11" ht="15.75">
      <c r="A62" s="66"/>
      <c r="B62" s="242" t="s">
        <v>155</v>
      </c>
      <c r="C62" s="7"/>
      <c r="D62" s="78"/>
      <c r="E62" s="175"/>
      <c r="F62" s="175"/>
      <c r="G62" s="175"/>
      <c r="H62" s="175"/>
      <c r="I62" s="177"/>
      <c r="J62" s="232"/>
      <c r="K62" s="176"/>
    </row>
    <row r="63" spans="1:11">
      <c r="A63" s="66"/>
      <c r="B63" s="112" t="s">
        <v>275</v>
      </c>
      <c r="C63" s="249"/>
      <c r="D63" s="78" t="s">
        <v>234</v>
      </c>
      <c r="E63" s="175">
        <v>15</v>
      </c>
      <c r="F63" s="175">
        <v>15</v>
      </c>
      <c r="G63" s="175"/>
      <c r="H63" s="175"/>
      <c r="I63" s="198"/>
      <c r="J63" s="232">
        <v>25</v>
      </c>
      <c r="K63" s="176"/>
    </row>
    <row r="64" spans="1:11" ht="15.75">
      <c r="A64" s="66"/>
      <c r="B64" s="68" t="s">
        <v>43</v>
      </c>
      <c r="C64" s="7"/>
      <c r="D64" s="78"/>
      <c r="E64" s="175"/>
      <c r="F64" s="175"/>
      <c r="G64" s="175"/>
      <c r="H64" s="175"/>
      <c r="I64" s="177"/>
      <c r="J64" s="232"/>
      <c r="K64" s="176"/>
    </row>
    <row r="65" spans="1:11" ht="15.75">
      <c r="A65" s="66"/>
      <c r="B65" s="68"/>
      <c r="C65" s="7"/>
      <c r="D65" s="78"/>
      <c r="E65" s="175"/>
      <c r="F65" s="175"/>
      <c r="G65" s="175"/>
      <c r="H65" s="175"/>
      <c r="I65" s="177"/>
      <c r="J65" s="232"/>
      <c r="K65" s="176"/>
    </row>
    <row r="66" spans="1:11" ht="15.75">
      <c r="A66" s="66"/>
      <c r="B66" s="68" t="s">
        <v>44</v>
      </c>
      <c r="C66" s="7"/>
      <c r="D66" s="78"/>
      <c r="E66" s="175"/>
      <c r="F66" s="175"/>
      <c r="G66" s="175"/>
      <c r="H66" s="175"/>
      <c r="I66" s="177"/>
      <c r="J66" s="232"/>
      <c r="K66" s="176"/>
    </row>
    <row r="67" spans="1:11" ht="15.75">
      <c r="A67" s="66"/>
      <c r="B67" s="193" t="s">
        <v>135</v>
      </c>
      <c r="C67" s="7"/>
      <c r="D67" s="78" t="s">
        <v>139</v>
      </c>
      <c r="E67" s="175">
        <v>15</v>
      </c>
      <c r="F67" s="175">
        <v>15</v>
      </c>
      <c r="G67" s="175"/>
      <c r="H67" s="175"/>
      <c r="I67" s="177"/>
      <c r="J67" s="232">
        <v>25</v>
      </c>
      <c r="K67" s="176"/>
    </row>
    <row r="68" spans="1:11" ht="15.75">
      <c r="A68" s="66"/>
      <c r="B68" s="68" t="s">
        <v>45</v>
      </c>
      <c r="C68" s="7"/>
      <c r="D68" s="78"/>
      <c r="E68" s="175"/>
      <c r="F68" s="175"/>
      <c r="G68" s="175"/>
      <c r="H68" s="175"/>
      <c r="I68" s="177"/>
      <c r="J68" s="232"/>
      <c r="K68" s="176"/>
    </row>
    <row r="69" spans="1:11" ht="15.75">
      <c r="A69" s="66"/>
      <c r="B69" s="193" t="s">
        <v>196</v>
      </c>
      <c r="C69" s="250"/>
      <c r="D69" s="78" t="s">
        <v>141</v>
      </c>
      <c r="E69" s="175">
        <v>15</v>
      </c>
      <c r="F69" s="175">
        <v>15</v>
      </c>
      <c r="G69" s="175"/>
      <c r="H69" s="175"/>
      <c r="I69" s="177"/>
      <c r="J69" s="232">
        <v>25</v>
      </c>
      <c r="K69" s="176"/>
    </row>
    <row r="70" spans="1:11" ht="15.75">
      <c r="A70" s="66"/>
      <c r="B70" s="193" t="s">
        <v>279</v>
      </c>
      <c r="C70" s="7"/>
      <c r="D70" s="78" t="s">
        <v>142</v>
      </c>
      <c r="E70" s="175">
        <v>15</v>
      </c>
      <c r="F70" s="175">
        <v>15</v>
      </c>
      <c r="G70" s="175"/>
      <c r="H70" s="175"/>
      <c r="I70" s="177"/>
      <c r="J70" s="232">
        <v>25</v>
      </c>
      <c r="K70" s="176"/>
    </row>
    <row r="71" spans="1:11" ht="15.75">
      <c r="A71" s="66"/>
      <c r="B71" s="242" t="s">
        <v>195</v>
      </c>
      <c r="C71" s="7"/>
      <c r="D71" s="78" t="s">
        <v>142</v>
      </c>
      <c r="E71" s="175">
        <v>15</v>
      </c>
      <c r="F71" s="175">
        <v>15</v>
      </c>
      <c r="G71" s="175"/>
      <c r="H71" s="175"/>
      <c r="I71" s="177"/>
      <c r="J71" s="232">
        <v>25</v>
      </c>
      <c r="K71" s="176"/>
    </row>
    <row r="72" spans="1:11" ht="15.75">
      <c r="A72" s="66"/>
      <c r="B72" s="193"/>
      <c r="C72" s="7"/>
      <c r="D72" s="78"/>
      <c r="E72" s="175"/>
      <c r="F72" s="175"/>
      <c r="G72" s="175"/>
      <c r="H72" s="175"/>
      <c r="I72" s="177"/>
      <c r="J72" s="232"/>
      <c r="K72" s="176"/>
    </row>
    <row r="73" spans="1:11" ht="15.75">
      <c r="A73" s="66"/>
      <c r="B73" s="68" t="s">
        <v>46</v>
      </c>
      <c r="C73" s="7"/>
      <c r="D73" s="78"/>
      <c r="E73" s="175"/>
      <c r="F73" s="175"/>
      <c r="G73" s="175"/>
      <c r="H73" s="175"/>
      <c r="I73" s="177"/>
      <c r="J73" s="232"/>
      <c r="K73" s="176"/>
    </row>
    <row r="74" spans="1:11">
      <c r="A74" s="66"/>
      <c r="B74" s="85"/>
      <c r="C74" s="7"/>
      <c r="D74" s="78"/>
      <c r="E74" s="175"/>
      <c r="F74" s="175"/>
      <c r="G74" s="175"/>
      <c r="H74" s="175"/>
      <c r="I74" s="177"/>
      <c r="J74" s="232"/>
      <c r="K74" s="176"/>
    </row>
    <row r="75" spans="1:11">
      <c r="A75" s="66"/>
      <c r="B75" s="85"/>
      <c r="C75" s="7"/>
      <c r="D75" s="78"/>
      <c r="E75" s="175"/>
      <c r="F75" s="175"/>
      <c r="G75" s="175"/>
      <c r="H75" s="175"/>
      <c r="I75" s="168"/>
      <c r="J75" s="232"/>
      <c r="K75" s="176"/>
    </row>
    <row r="76" spans="1:11">
      <c r="A76" s="746" t="s">
        <v>34</v>
      </c>
      <c r="B76" s="747"/>
      <c r="C76" s="747"/>
      <c r="D76" s="747"/>
      <c r="E76" s="747"/>
      <c r="F76" s="747"/>
      <c r="G76" s="747"/>
      <c r="H76" s="747"/>
      <c r="I76" s="747"/>
      <c r="J76" s="747"/>
      <c r="K76" s="748"/>
    </row>
    <row r="77" spans="1:11" ht="15.75">
      <c r="A77" s="171">
        <v>4.0999999999999996</v>
      </c>
      <c r="B77" s="91" t="s">
        <v>47</v>
      </c>
      <c r="C77" s="64" t="str">
        <f>"0912-7LEK-B"&amp;A77&amp;"-"&amp;UPPER(LEFT(B77,1))</f>
        <v>0912-7LEK-B4,1-S</v>
      </c>
      <c r="D77" s="92">
        <v>2</v>
      </c>
      <c r="E77" s="93">
        <v>15</v>
      </c>
      <c r="F77" s="93">
        <v>15</v>
      </c>
      <c r="G77" s="93">
        <v>0</v>
      </c>
      <c r="H77" s="93">
        <v>0</v>
      </c>
      <c r="I77" s="93">
        <v>0</v>
      </c>
      <c r="J77" s="234">
        <v>25</v>
      </c>
      <c r="K77" s="93">
        <v>1</v>
      </c>
    </row>
    <row r="78" spans="1:11" ht="15.75">
      <c r="A78" s="178"/>
      <c r="B78" s="91"/>
      <c r="C78" s="64"/>
      <c r="D78" s="92"/>
      <c r="E78" s="93"/>
      <c r="F78" s="93"/>
      <c r="G78" s="93"/>
      <c r="H78" s="93"/>
      <c r="I78" s="93"/>
      <c r="J78" s="234"/>
      <c r="K78" s="93"/>
    </row>
    <row r="79" spans="1:11" ht="15.75">
      <c r="A79" s="66">
        <v>4.2</v>
      </c>
      <c r="B79" s="68" t="s">
        <v>48</v>
      </c>
      <c r="C79" s="7" t="str">
        <f>"0912-7LEK-B"&amp;A79&amp;"-"&amp;UPPER(LEFT(B79,1))</f>
        <v>0912-7LEK-B4,2-P</v>
      </c>
      <c r="D79" s="78">
        <v>2</v>
      </c>
      <c r="E79" s="79">
        <v>15</v>
      </c>
      <c r="F79" s="79">
        <v>15</v>
      </c>
      <c r="G79" s="79">
        <v>0</v>
      </c>
      <c r="H79" s="79">
        <v>0</v>
      </c>
      <c r="I79" s="79">
        <v>0</v>
      </c>
      <c r="J79" s="235">
        <v>25</v>
      </c>
      <c r="K79" s="79">
        <v>1</v>
      </c>
    </row>
    <row r="80" spans="1:11" ht="15.75">
      <c r="A80" s="3">
        <v>4.3</v>
      </c>
      <c r="B80" s="68" t="s">
        <v>49</v>
      </c>
      <c r="C80" s="7" t="str">
        <f>"0912-7LEK-B"&amp;A80&amp;"-"&amp;UPPER(LEFT(B80,1))</f>
        <v>0912-7LEK-B4,3-E</v>
      </c>
      <c r="D80" s="78">
        <v>1</v>
      </c>
      <c r="E80" s="79">
        <v>15</v>
      </c>
      <c r="F80" s="79">
        <v>15</v>
      </c>
      <c r="G80" s="79">
        <v>0</v>
      </c>
      <c r="H80" s="79">
        <v>0</v>
      </c>
      <c r="I80" s="79">
        <v>0</v>
      </c>
      <c r="J80" s="235">
        <v>25</v>
      </c>
      <c r="K80" s="79">
        <v>1</v>
      </c>
    </row>
    <row r="81" spans="1:11" ht="15.75">
      <c r="A81" s="66">
        <v>4.4000000000000004</v>
      </c>
      <c r="B81" s="68" t="s">
        <v>92</v>
      </c>
      <c r="C81" s="7" t="str">
        <f>"0912-7LEK-B"&amp;A81&amp;"-"&amp;UPPER(LEFT(B81,1))</f>
        <v>0912-7LEK-B4,4-E</v>
      </c>
      <c r="D81" s="78">
        <v>1</v>
      </c>
      <c r="E81" s="79">
        <v>15</v>
      </c>
      <c r="F81" s="79">
        <v>15</v>
      </c>
      <c r="G81" s="79">
        <v>0</v>
      </c>
      <c r="H81" s="79">
        <v>0</v>
      </c>
      <c r="I81" s="79">
        <v>0</v>
      </c>
      <c r="J81" s="235">
        <v>25</v>
      </c>
      <c r="K81" s="79">
        <v>1</v>
      </c>
    </row>
    <row r="82" spans="1:11" ht="15.75">
      <c r="A82" s="171">
        <v>4.5</v>
      </c>
      <c r="B82" s="68" t="s">
        <v>50</v>
      </c>
      <c r="C82" s="7" t="str">
        <f>"0912-7LEK-B"&amp;A82&amp;"-"&amp;UPPER(LEFT(B82,1))</f>
        <v>0912-7LEK-B4,5-H</v>
      </c>
      <c r="D82" s="78" t="s">
        <v>232</v>
      </c>
      <c r="E82" s="79">
        <v>30</v>
      </c>
      <c r="F82" s="79">
        <v>30</v>
      </c>
      <c r="G82" s="79">
        <v>0</v>
      </c>
      <c r="H82" s="79">
        <v>0</v>
      </c>
      <c r="I82" s="79">
        <v>0</v>
      </c>
      <c r="J82" s="235">
        <v>0</v>
      </c>
      <c r="K82" s="79">
        <v>1</v>
      </c>
    </row>
    <row r="83" spans="1:11">
      <c r="A83" s="753" t="s">
        <v>9</v>
      </c>
      <c r="B83" s="754"/>
      <c r="C83" s="754"/>
      <c r="D83" s="755"/>
      <c r="E83" s="90">
        <f t="shared" ref="E83:K83" si="4">SUM(E77:E82)</f>
        <v>90</v>
      </c>
      <c r="F83" s="90">
        <f t="shared" si="4"/>
        <v>90</v>
      </c>
      <c r="G83" s="90">
        <f t="shared" si="4"/>
        <v>0</v>
      </c>
      <c r="H83" s="90">
        <f t="shared" si="4"/>
        <v>0</v>
      </c>
      <c r="I83" s="90">
        <f t="shared" si="4"/>
        <v>0</v>
      </c>
      <c r="J83" s="231">
        <f t="shared" si="4"/>
        <v>100</v>
      </c>
      <c r="K83" s="90">
        <f t="shared" si="4"/>
        <v>5</v>
      </c>
    </row>
    <row r="84" spans="1:11" ht="15.75">
      <c r="A84" s="253"/>
      <c r="B84" s="211"/>
      <c r="C84" s="188"/>
      <c r="D84" s="189"/>
      <c r="E84" s="199"/>
      <c r="F84" s="199"/>
      <c r="G84" s="199"/>
      <c r="H84" s="199"/>
      <c r="I84" s="199"/>
      <c r="J84" s="239"/>
      <c r="K84" s="200"/>
    </row>
    <row r="85" spans="1:11">
      <c r="A85" s="807" t="s">
        <v>266</v>
      </c>
      <c r="B85" s="808"/>
      <c r="C85" s="808"/>
      <c r="D85" s="808"/>
      <c r="E85" s="808"/>
      <c r="F85" s="808"/>
      <c r="G85" s="808"/>
      <c r="H85" s="808"/>
      <c r="I85" s="808"/>
      <c r="J85" s="808"/>
      <c r="K85" s="809"/>
    </row>
    <row r="86" spans="1:11" ht="15.75">
      <c r="A86" s="66"/>
      <c r="B86" s="193" t="s">
        <v>290</v>
      </c>
      <c r="C86" s="7"/>
      <c r="D86" s="78" t="s">
        <v>139</v>
      </c>
      <c r="E86" s="175">
        <v>15</v>
      </c>
      <c r="F86" s="175"/>
      <c r="G86" s="175">
        <v>15</v>
      </c>
      <c r="H86" s="175"/>
      <c r="I86" s="168"/>
      <c r="J86" s="232">
        <v>25</v>
      </c>
      <c r="K86" s="176"/>
    </row>
    <row r="87" spans="1:11" ht="15.75">
      <c r="A87" s="66"/>
      <c r="B87" s="193" t="s">
        <v>293</v>
      </c>
      <c r="C87" s="249">
        <v>5</v>
      </c>
      <c r="D87" s="78" t="s">
        <v>141</v>
      </c>
      <c r="E87" s="175">
        <v>15</v>
      </c>
      <c r="F87" s="175"/>
      <c r="G87" s="175">
        <v>15</v>
      </c>
      <c r="H87" s="175"/>
      <c r="I87" s="168"/>
      <c r="J87" s="232">
        <v>25</v>
      </c>
      <c r="K87" s="176"/>
    </row>
    <row r="88" spans="1:11" ht="15.75">
      <c r="A88" s="251"/>
      <c r="B88" s="252" t="s">
        <v>294</v>
      </c>
      <c r="C88" s="249"/>
      <c r="D88" s="78" t="s">
        <v>141</v>
      </c>
      <c r="E88" s="175"/>
      <c r="F88" s="175"/>
      <c r="G88" s="175">
        <v>15</v>
      </c>
      <c r="H88" s="175"/>
      <c r="I88" s="198"/>
      <c r="J88" s="232">
        <v>25</v>
      </c>
      <c r="K88" s="176"/>
    </row>
    <row r="89" spans="1:11">
      <c r="A89" s="746" t="s">
        <v>25</v>
      </c>
      <c r="B89" s="747"/>
      <c r="C89" s="747"/>
      <c r="D89" s="747"/>
      <c r="E89" s="747"/>
      <c r="F89" s="747"/>
      <c r="G89" s="747"/>
      <c r="H89" s="747"/>
      <c r="I89" s="747"/>
      <c r="J89" s="747"/>
      <c r="K89" s="748"/>
    </row>
    <row r="90" spans="1:11" ht="15.75">
      <c r="A90" s="171">
        <v>5.0999999999999996</v>
      </c>
      <c r="B90" s="91" t="s">
        <v>51</v>
      </c>
      <c r="C90" s="64" t="str">
        <f>"0912-7LEK-C"&amp;A90&amp;"-"&amp;UPPER(LEFT(B90,1))</f>
        <v>0912-7LEK-C5,1-P</v>
      </c>
      <c r="D90" s="92" t="s">
        <v>263</v>
      </c>
      <c r="E90" s="93">
        <v>240</v>
      </c>
      <c r="F90" s="93">
        <v>60</v>
      </c>
      <c r="G90" s="93">
        <v>70</v>
      </c>
      <c r="H90" s="93">
        <v>110</v>
      </c>
      <c r="I90" s="93">
        <v>0</v>
      </c>
      <c r="J90" s="234">
        <v>375</v>
      </c>
      <c r="K90" s="93">
        <v>15</v>
      </c>
    </row>
    <row r="91" spans="1:11" ht="15.75">
      <c r="A91" s="3">
        <v>5.2</v>
      </c>
      <c r="B91" s="68" t="s">
        <v>80</v>
      </c>
      <c r="C91" s="7" t="str">
        <f>"0912-7LEK-C"&amp;A91&amp;"-"&amp;UPPER(LEFT(B91,1))&amp;"W"</f>
        <v>0912-7LEK-C5,2-CW</v>
      </c>
      <c r="D91" s="78" t="s">
        <v>263</v>
      </c>
      <c r="E91" s="79">
        <v>210</v>
      </c>
      <c r="F91" s="79">
        <v>60</v>
      </c>
      <c r="G91" s="79">
        <v>60</v>
      </c>
      <c r="H91" s="79">
        <v>90</v>
      </c>
      <c r="I91" s="79">
        <v>0</v>
      </c>
      <c r="J91" s="235">
        <v>300</v>
      </c>
      <c r="K91" s="79">
        <v>12</v>
      </c>
    </row>
    <row r="92" spans="1:11" ht="15.75">
      <c r="A92" s="3">
        <v>5.3</v>
      </c>
      <c r="B92" s="68" t="s">
        <v>52</v>
      </c>
      <c r="C92" s="7" t="str">
        <f t="shared" ref="C92:C99" si="5">"0912-7LEK-C"&amp;A92&amp;"-"&amp;UPPER(LEFT(B92,1))</f>
        <v>0912-7LEK-C5,3-G</v>
      </c>
      <c r="D92" s="78">
        <v>10</v>
      </c>
      <c r="E92" s="79">
        <v>55</v>
      </c>
      <c r="F92" s="79">
        <v>15</v>
      </c>
      <c r="G92" s="79">
        <v>40</v>
      </c>
      <c r="H92" s="79">
        <v>0</v>
      </c>
      <c r="I92" s="79">
        <v>0</v>
      </c>
      <c r="J92" s="235">
        <v>75</v>
      </c>
      <c r="K92" s="79">
        <v>3</v>
      </c>
    </row>
    <row r="93" spans="1:11" ht="15.75">
      <c r="A93" s="3">
        <v>5.4</v>
      </c>
      <c r="B93" s="68" t="s">
        <v>53</v>
      </c>
      <c r="C93" s="7" t="str">
        <f t="shared" si="5"/>
        <v>0912-7LEK-C5,4-N</v>
      </c>
      <c r="D93" s="78">
        <v>7</v>
      </c>
      <c r="E93" s="79">
        <v>60</v>
      </c>
      <c r="F93" s="79">
        <v>15</v>
      </c>
      <c r="G93" s="79">
        <v>15</v>
      </c>
      <c r="H93" s="79">
        <v>30</v>
      </c>
      <c r="I93" s="79">
        <v>0</v>
      </c>
      <c r="J93" s="235">
        <v>100</v>
      </c>
      <c r="K93" s="79">
        <v>4</v>
      </c>
    </row>
    <row r="94" spans="1:11" ht="15.75">
      <c r="A94" s="3">
        <v>5.5</v>
      </c>
      <c r="B94" s="68" t="s">
        <v>54</v>
      </c>
      <c r="C94" s="7" t="str">
        <f t="shared" si="5"/>
        <v>0912-7LEK-C5,5-P</v>
      </c>
      <c r="D94" s="78">
        <v>8</v>
      </c>
      <c r="E94" s="79">
        <v>60</v>
      </c>
      <c r="F94" s="79">
        <v>15</v>
      </c>
      <c r="G94" s="79">
        <v>15</v>
      </c>
      <c r="H94" s="79">
        <v>30</v>
      </c>
      <c r="I94" s="79">
        <v>0</v>
      </c>
      <c r="J94" s="235">
        <v>100</v>
      </c>
      <c r="K94" s="79">
        <v>4</v>
      </c>
    </row>
    <row r="95" spans="1:11" ht="15.75">
      <c r="A95" s="3">
        <v>5.6</v>
      </c>
      <c r="B95" s="68" t="s">
        <v>55</v>
      </c>
      <c r="C95" s="7" t="str">
        <f t="shared" si="5"/>
        <v>0912-7LEK-C5,6-O</v>
      </c>
      <c r="D95" s="78">
        <v>7</v>
      </c>
      <c r="E95" s="79">
        <v>55</v>
      </c>
      <c r="F95" s="79">
        <v>15</v>
      </c>
      <c r="G95" s="79">
        <v>15</v>
      </c>
      <c r="H95" s="79">
        <v>25</v>
      </c>
      <c r="I95" s="79">
        <v>0</v>
      </c>
      <c r="J95" s="235">
        <v>100</v>
      </c>
      <c r="K95" s="79">
        <v>4</v>
      </c>
    </row>
    <row r="96" spans="1:11" ht="15.75">
      <c r="A96" s="3">
        <v>5.7</v>
      </c>
      <c r="B96" s="68" t="s">
        <v>56</v>
      </c>
      <c r="C96" s="7" t="str">
        <f>"0912-7LEK-C"&amp;A96&amp;"-"&amp;UPPER(LEFT(B96,1))&amp;"R"</f>
        <v>0912-7LEK-C5,7-MR</v>
      </c>
      <c r="D96" s="78">
        <v>9</v>
      </c>
      <c r="E96" s="79">
        <v>55</v>
      </c>
      <c r="F96" s="79">
        <v>15</v>
      </c>
      <c r="G96" s="79">
        <v>40</v>
      </c>
      <c r="H96" s="79">
        <v>0</v>
      </c>
      <c r="I96" s="79">
        <v>0</v>
      </c>
      <c r="J96" s="235">
        <v>100</v>
      </c>
      <c r="K96" s="79">
        <v>4</v>
      </c>
    </row>
    <row r="97" spans="1:11" ht="15.75">
      <c r="A97" s="3">
        <v>5.8</v>
      </c>
      <c r="B97" s="68" t="s">
        <v>57</v>
      </c>
      <c r="C97" s="7" t="str">
        <f>"0912-7LEK-C"&amp;A97&amp;"-"&amp;UPPER(LEFT(B97,1))&amp;"iW"</f>
        <v>0912-7LEK-C5,8-DiW</v>
      </c>
      <c r="D97" s="78">
        <v>6</v>
      </c>
      <c r="E97" s="79">
        <v>55</v>
      </c>
      <c r="F97" s="79">
        <v>15</v>
      </c>
      <c r="G97" s="79">
        <v>15</v>
      </c>
      <c r="H97" s="79">
        <v>25</v>
      </c>
      <c r="I97" s="79">
        <v>0</v>
      </c>
      <c r="J97" s="235">
        <v>75</v>
      </c>
      <c r="K97" s="79">
        <v>3</v>
      </c>
    </row>
    <row r="98" spans="1:11" ht="15.75">
      <c r="A98" s="3">
        <v>5.9</v>
      </c>
      <c r="B98" s="68" t="s">
        <v>58</v>
      </c>
      <c r="C98" s="7" t="str">
        <f>"0912-7LEK-C"&amp;A98&amp;"-"&amp;UPPER(LEFT(B98,1))&amp;"Z"</f>
        <v>0912-7LEK-C5,9-CZ</v>
      </c>
      <c r="D98" s="78" t="s">
        <v>143</v>
      </c>
      <c r="E98" s="79">
        <v>70</v>
      </c>
      <c r="F98" s="79">
        <v>15</v>
      </c>
      <c r="G98" s="79">
        <v>20</v>
      </c>
      <c r="H98" s="79">
        <v>35</v>
      </c>
      <c r="I98" s="79">
        <v>0</v>
      </c>
      <c r="J98" s="235">
        <v>100</v>
      </c>
      <c r="K98" s="79">
        <v>4</v>
      </c>
    </row>
    <row r="99" spans="1:11" ht="15.75">
      <c r="A99" s="70">
        <v>5.0999999999999996</v>
      </c>
      <c r="B99" s="68" t="s">
        <v>59</v>
      </c>
      <c r="C99" s="7" t="str">
        <f t="shared" si="5"/>
        <v>0912-7LEK-C5,1-R</v>
      </c>
      <c r="D99" s="78">
        <v>7</v>
      </c>
      <c r="E99" s="79">
        <v>50</v>
      </c>
      <c r="F99" s="79">
        <v>15</v>
      </c>
      <c r="G99" s="79">
        <v>15</v>
      </c>
      <c r="H99" s="79">
        <v>20</v>
      </c>
      <c r="I99" s="79">
        <v>0</v>
      </c>
      <c r="J99" s="235">
        <v>70</v>
      </c>
      <c r="K99" s="79">
        <v>3</v>
      </c>
    </row>
    <row r="100" spans="1:11" ht="15.75">
      <c r="A100" s="70">
        <v>5.1100000000000003</v>
      </c>
      <c r="B100" s="68" t="s">
        <v>60</v>
      </c>
      <c r="C100" s="7" t="str">
        <f>"0912-7LEK-C"&amp;A100&amp;"-"&amp;UPPER(LEFT(B100,1))&amp;"L"</f>
        <v>0912-7LEK-C5,11-DL</v>
      </c>
      <c r="D100" s="78" t="s">
        <v>141</v>
      </c>
      <c r="E100" s="79">
        <v>55</v>
      </c>
      <c r="F100" s="79">
        <v>15</v>
      </c>
      <c r="G100" s="79">
        <v>40</v>
      </c>
      <c r="H100" s="79">
        <v>0</v>
      </c>
      <c r="I100" s="79">
        <v>0</v>
      </c>
      <c r="J100" s="235">
        <v>100</v>
      </c>
      <c r="K100" s="79">
        <v>4</v>
      </c>
    </row>
    <row r="101" spans="1:11" ht="15.75">
      <c r="A101" s="70">
        <v>5.12</v>
      </c>
      <c r="B101" s="68" t="s">
        <v>61</v>
      </c>
      <c r="C101" s="7" t="str">
        <f>"0912-7LEK-C"&amp;A101&amp;"-"&amp;UPPER(LEFT(B101,1))&amp;"K"</f>
        <v>0912-7LEK-C5,12-FK</v>
      </c>
      <c r="D101" s="78" t="s">
        <v>140</v>
      </c>
      <c r="E101" s="79">
        <v>45</v>
      </c>
      <c r="F101" s="79">
        <v>20</v>
      </c>
      <c r="G101" s="79">
        <v>10</v>
      </c>
      <c r="H101" s="79">
        <v>15</v>
      </c>
      <c r="I101" s="79">
        <v>0</v>
      </c>
      <c r="J101" s="235">
        <v>65</v>
      </c>
      <c r="K101" s="79">
        <v>3</v>
      </c>
    </row>
    <row r="102" spans="1:11">
      <c r="A102" s="753" t="s">
        <v>9</v>
      </c>
      <c r="B102" s="754"/>
      <c r="C102" s="754"/>
      <c r="D102" s="755"/>
      <c r="E102" s="90">
        <f t="shared" ref="E102:K102" si="6">SUM(E90:E101)</f>
        <v>1010</v>
      </c>
      <c r="F102" s="90">
        <f t="shared" si="6"/>
        <v>275</v>
      </c>
      <c r="G102" s="90">
        <f t="shared" si="6"/>
        <v>355</v>
      </c>
      <c r="H102" s="90">
        <f t="shared" si="6"/>
        <v>380</v>
      </c>
      <c r="I102" s="90">
        <f t="shared" si="6"/>
        <v>0</v>
      </c>
      <c r="J102" s="231">
        <f t="shared" si="6"/>
        <v>1560</v>
      </c>
      <c r="K102" s="90">
        <f t="shared" si="6"/>
        <v>63</v>
      </c>
    </row>
    <row r="103" spans="1:11" ht="15" customHeight="1">
      <c r="A103" s="807" t="s">
        <v>266</v>
      </c>
      <c r="B103" s="808"/>
      <c r="C103" s="808"/>
      <c r="D103" s="808"/>
      <c r="E103" s="808"/>
      <c r="F103" s="808"/>
      <c r="G103" s="808"/>
      <c r="H103" s="808"/>
      <c r="I103" s="808"/>
      <c r="J103" s="808"/>
      <c r="K103" s="809"/>
    </row>
    <row r="104" spans="1:11" ht="15" customHeight="1">
      <c r="A104" s="179"/>
      <c r="B104" s="180"/>
      <c r="C104" s="180"/>
      <c r="D104" s="180"/>
      <c r="E104" s="182"/>
      <c r="F104" s="182"/>
      <c r="G104" s="182"/>
      <c r="H104" s="182"/>
      <c r="I104" s="182"/>
      <c r="J104" s="236"/>
      <c r="K104" s="183"/>
    </row>
    <row r="105" spans="1:11" ht="15.75">
      <c r="A105" s="66"/>
      <c r="B105" s="91" t="s">
        <v>51</v>
      </c>
      <c r="C105" s="7"/>
      <c r="D105" s="78"/>
      <c r="E105" s="175"/>
      <c r="F105" s="175"/>
      <c r="G105" s="175"/>
      <c r="H105" s="175"/>
      <c r="I105" s="168"/>
      <c r="J105" s="232"/>
      <c r="K105" s="176"/>
    </row>
    <row r="106" spans="1:11" ht="15.75">
      <c r="A106" s="66"/>
      <c r="B106" s="204" t="s">
        <v>296</v>
      </c>
      <c r="C106" s="7"/>
      <c r="D106" s="78" t="s">
        <v>140</v>
      </c>
      <c r="E106" s="175">
        <v>15</v>
      </c>
      <c r="F106" s="175">
        <v>15</v>
      </c>
      <c r="G106" s="175"/>
      <c r="H106" s="175"/>
      <c r="I106" s="185"/>
      <c r="J106" s="232">
        <v>25</v>
      </c>
      <c r="K106" s="176"/>
    </row>
    <row r="107" spans="1:11" ht="15.75">
      <c r="A107" s="66"/>
      <c r="B107" s="264" t="s">
        <v>160</v>
      </c>
      <c r="C107" s="7"/>
      <c r="D107" s="78" t="s">
        <v>125</v>
      </c>
      <c r="E107" s="175">
        <v>35</v>
      </c>
      <c r="F107" s="175">
        <v>15</v>
      </c>
      <c r="G107" s="175">
        <v>20</v>
      </c>
      <c r="H107" s="175"/>
      <c r="I107" s="198"/>
      <c r="J107" s="232">
        <v>50</v>
      </c>
      <c r="K107" s="176"/>
    </row>
    <row r="108" spans="1:11" ht="15.75">
      <c r="A108" s="66"/>
      <c r="B108" s="264" t="s">
        <v>284</v>
      </c>
      <c r="C108" s="7"/>
      <c r="D108" s="78" t="s">
        <v>125</v>
      </c>
      <c r="E108" s="175">
        <v>35</v>
      </c>
      <c r="F108" s="175">
        <v>15</v>
      </c>
      <c r="G108" s="175">
        <v>20</v>
      </c>
      <c r="H108" s="175"/>
      <c r="I108" s="198"/>
      <c r="J108" s="232">
        <v>50</v>
      </c>
      <c r="K108" s="176"/>
    </row>
    <row r="109" spans="1:11" ht="15.75">
      <c r="A109" s="66"/>
      <c r="B109" s="204" t="s">
        <v>298</v>
      </c>
      <c r="C109" s="7"/>
      <c r="D109" s="78" t="s">
        <v>140</v>
      </c>
      <c r="E109" s="175">
        <v>15</v>
      </c>
      <c r="F109" s="175">
        <v>15</v>
      </c>
      <c r="G109" s="175"/>
      <c r="H109" s="175"/>
      <c r="I109" s="198"/>
      <c r="J109" s="232">
        <v>25</v>
      </c>
      <c r="K109" s="176"/>
    </row>
    <row r="110" spans="1:11" ht="15.75">
      <c r="A110" s="66"/>
      <c r="B110" s="68" t="s">
        <v>80</v>
      </c>
      <c r="C110" s="7"/>
      <c r="D110" s="78"/>
      <c r="E110" s="175"/>
      <c r="F110" s="175"/>
      <c r="G110" s="175"/>
      <c r="H110" s="175"/>
      <c r="I110" s="177"/>
      <c r="J110" s="232"/>
      <c r="K110" s="176"/>
    </row>
    <row r="111" spans="1:11" ht="15.75">
      <c r="A111" s="66"/>
      <c r="B111" s="263" t="s">
        <v>178</v>
      </c>
      <c r="C111" s="7"/>
      <c r="D111" s="78" t="s">
        <v>125</v>
      </c>
      <c r="E111" s="175">
        <v>35</v>
      </c>
      <c r="F111" s="175">
        <v>15</v>
      </c>
      <c r="G111" s="175">
        <v>20</v>
      </c>
      <c r="H111" s="175"/>
      <c r="I111" s="198"/>
      <c r="J111" s="232">
        <v>50</v>
      </c>
      <c r="K111" s="176"/>
    </row>
    <row r="112" spans="1:11" ht="15.75">
      <c r="A112" s="66"/>
      <c r="B112" s="263" t="s">
        <v>174</v>
      </c>
      <c r="C112" s="7"/>
      <c r="D112" s="78" t="s">
        <v>125</v>
      </c>
      <c r="E112" s="175">
        <v>35</v>
      </c>
      <c r="F112" s="175">
        <v>15</v>
      </c>
      <c r="G112" s="175">
        <v>20</v>
      </c>
      <c r="H112" s="175"/>
      <c r="I112" s="198"/>
      <c r="J112" s="232">
        <v>50</v>
      </c>
      <c r="K112" s="176"/>
    </row>
    <row r="113" spans="1:11" ht="15.75">
      <c r="A113" s="66"/>
      <c r="B113" s="263" t="s">
        <v>159</v>
      </c>
      <c r="C113" s="7"/>
      <c r="D113" s="78" t="s">
        <v>125</v>
      </c>
      <c r="E113" s="175">
        <v>35</v>
      </c>
      <c r="F113" s="175">
        <v>15</v>
      </c>
      <c r="G113" s="175">
        <v>20</v>
      </c>
      <c r="H113" s="175"/>
      <c r="I113" s="198"/>
      <c r="J113" s="232">
        <v>50</v>
      </c>
      <c r="K113" s="176"/>
    </row>
    <row r="114" spans="1:11" ht="15.75">
      <c r="A114" s="66"/>
      <c r="B114" s="263" t="s">
        <v>171</v>
      </c>
      <c r="C114" s="7"/>
      <c r="D114" s="78" t="s">
        <v>125</v>
      </c>
      <c r="E114" s="175">
        <v>35</v>
      </c>
      <c r="F114" s="175">
        <v>15</v>
      </c>
      <c r="G114" s="175">
        <v>20</v>
      </c>
      <c r="H114" s="175"/>
      <c r="I114" s="198"/>
      <c r="J114" s="232">
        <v>50</v>
      </c>
      <c r="K114" s="176"/>
    </row>
    <row r="115" spans="1:11" ht="15.75">
      <c r="A115" s="66"/>
      <c r="B115" s="243" t="s">
        <v>157</v>
      </c>
      <c r="C115" s="258"/>
      <c r="D115" s="89" t="s">
        <v>140</v>
      </c>
      <c r="E115" s="175">
        <v>15</v>
      </c>
      <c r="F115" s="175">
        <v>15</v>
      </c>
      <c r="G115" s="175"/>
      <c r="H115" s="175"/>
      <c r="I115" s="198"/>
      <c r="J115" s="232">
        <v>25</v>
      </c>
      <c r="K115" s="176"/>
    </row>
    <row r="116" spans="1:11">
      <c r="A116" s="66"/>
      <c r="B116" s="270" t="s">
        <v>168</v>
      </c>
      <c r="C116" s="85"/>
      <c r="D116" s="108">
        <v>10</v>
      </c>
      <c r="E116" s="85">
        <v>15</v>
      </c>
      <c r="F116" s="175">
        <v>15</v>
      </c>
      <c r="G116" s="175"/>
      <c r="H116" s="175"/>
      <c r="I116" s="198"/>
      <c r="J116" s="232">
        <v>25</v>
      </c>
      <c r="K116" s="176"/>
    </row>
    <row r="117" spans="1:11" ht="15.75">
      <c r="A117" s="66"/>
      <c r="B117" s="68" t="s">
        <v>52</v>
      </c>
      <c r="C117" s="7"/>
      <c r="D117" s="78"/>
      <c r="E117" s="175"/>
      <c r="F117" s="175"/>
      <c r="G117" s="175"/>
      <c r="H117" s="175"/>
      <c r="I117" s="177"/>
      <c r="J117" s="232"/>
      <c r="K117" s="176"/>
    </row>
    <row r="118" spans="1:11" ht="15.75">
      <c r="A118" s="66"/>
      <c r="B118" s="68" t="s">
        <v>53</v>
      </c>
      <c r="C118" s="7"/>
      <c r="D118" s="78"/>
      <c r="E118" s="175"/>
      <c r="F118" s="175"/>
      <c r="G118" s="175"/>
      <c r="H118" s="175"/>
      <c r="I118" s="177"/>
      <c r="J118" s="232"/>
      <c r="K118" s="176"/>
    </row>
    <row r="119" spans="1:11" ht="15.75">
      <c r="A119" s="66"/>
      <c r="B119" s="68" t="s">
        <v>54</v>
      </c>
      <c r="C119" s="7"/>
      <c r="D119" s="78"/>
      <c r="E119" s="175"/>
      <c r="F119" s="175"/>
      <c r="G119" s="175"/>
      <c r="H119" s="175"/>
      <c r="I119" s="177"/>
      <c r="J119" s="232"/>
      <c r="K119" s="176"/>
    </row>
    <row r="120" spans="1:11" ht="15.75">
      <c r="A120" s="66"/>
      <c r="B120" s="261" t="s">
        <v>286</v>
      </c>
      <c r="C120" s="7"/>
      <c r="D120" s="78" t="s">
        <v>125</v>
      </c>
      <c r="E120" s="175">
        <v>15</v>
      </c>
      <c r="F120" s="175">
        <v>15</v>
      </c>
      <c r="G120" s="175"/>
      <c r="H120" s="175"/>
      <c r="I120" s="198"/>
      <c r="J120" s="232">
        <v>25</v>
      </c>
      <c r="K120" s="176"/>
    </row>
    <row r="121" spans="1:11">
      <c r="A121" s="66"/>
      <c r="B121" s="270" t="s">
        <v>287</v>
      </c>
      <c r="C121" s="7"/>
      <c r="D121" s="78" t="s">
        <v>128</v>
      </c>
      <c r="E121" s="175">
        <v>15</v>
      </c>
      <c r="F121" s="175">
        <v>15</v>
      </c>
      <c r="G121" s="175"/>
      <c r="H121" s="175"/>
      <c r="I121" s="198"/>
      <c r="J121" s="232">
        <v>25</v>
      </c>
      <c r="K121" s="176"/>
    </row>
    <row r="122" spans="1:11" ht="15.75">
      <c r="A122" s="66"/>
      <c r="B122" s="68" t="s">
        <v>55</v>
      </c>
      <c r="C122" s="7"/>
      <c r="D122" s="78"/>
      <c r="E122" s="175"/>
      <c r="F122" s="175"/>
      <c r="G122" s="175"/>
      <c r="H122" s="175"/>
      <c r="I122" s="177"/>
      <c r="J122" s="232"/>
      <c r="K122" s="176"/>
    </row>
    <row r="123" spans="1:11" ht="15.75">
      <c r="A123" s="66"/>
      <c r="B123" s="261" t="s">
        <v>173</v>
      </c>
      <c r="C123" s="7"/>
      <c r="D123" s="78" t="s">
        <v>125</v>
      </c>
      <c r="E123" s="175">
        <v>35</v>
      </c>
      <c r="F123" s="175">
        <v>15</v>
      </c>
      <c r="G123" s="175">
        <v>20</v>
      </c>
      <c r="H123" s="175"/>
      <c r="I123" s="198"/>
      <c r="J123" s="232">
        <v>50</v>
      </c>
      <c r="K123" s="176"/>
    </row>
    <row r="124" spans="1:11" ht="15.75">
      <c r="A124" s="66"/>
      <c r="B124" s="261" t="s">
        <v>164</v>
      </c>
      <c r="C124" s="7"/>
      <c r="D124" s="78" t="s">
        <v>125</v>
      </c>
      <c r="E124" s="175">
        <v>35</v>
      </c>
      <c r="F124" s="175">
        <v>15</v>
      </c>
      <c r="G124" s="175">
        <v>20</v>
      </c>
      <c r="H124" s="175"/>
      <c r="I124" s="198"/>
      <c r="J124" s="232">
        <v>50</v>
      </c>
      <c r="K124" s="176"/>
    </row>
    <row r="125" spans="1:11" ht="15.75">
      <c r="A125" s="66"/>
      <c r="B125" s="265" t="s">
        <v>163</v>
      </c>
      <c r="C125" s="7"/>
      <c r="D125" s="78" t="s">
        <v>125</v>
      </c>
      <c r="E125" s="175">
        <v>35</v>
      </c>
      <c r="F125" s="175">
        <v>15</v>
      </c>
      <c r="G125" s="175">
        <v>20</v>
      </c>
      <c r="H125" s="175"/>
      <c r="I125" s="198"/>
      <c r="J125" s="232">
        <v>50</v>
      </c>
      <c r="K125" s="176"/>
    </row>
    <row r="126" spans="1:11" ht="15.75">
      <c r="A126" s="66"/>
      <c r="B126" s="68" t="s">
        <v>56</v>
      </c>
      <c r="C126" s="7"/>
      <c r="D126" s="78"/>
      <c r="E126" s="175"/>
      <c r="F126" s="175"/>
      <c r="G126" s="175"/>
      <c r="H126" s="175"/>
      <c r="I126" s="177"/>
      <c r="J126" s="232"/>
      <c r="K126" s="176"/>
    </row>
    <row r="127" spans="1:11" ht="15.75">
      <c r="A127" s="66"/>
      <c r="B127" s="68" t="s">
        <v>57</v>
      </c>
      <c r="C127" s="7"/>
      <c r="D127" s="78"/>
      <c r="E127" s="175"/>
      <c r="F127" s="175"/>
      <c r="G127" s="175"/>
      <c r="H127" s="175"/>
      <c r="I127" s="177"/>
      <c r="J127" s="232"/>
      <c r="K127" s="176"/>
    </row>
    <row r="128" spans="1:11" ht="15.75">
      <c r="A128" s="66"/>
      <c r="B128" s="261" t="s">
        <v>156</v>
      </c>
      <c r="C128" s="7"/>
      <c r="D128" s="78" t="s">
        <v>143</v>
      </c>
      <c r="E128" s="175">
        <v>15</v>
      </c>
      <c r="F128" s="175">
        <v>15</v>
      </c>
      <c r="G128" s="175"/>
      <c r="H128" s="175"/>
      <c r="I128" s="177"/>
      <c r="J128" s="232">
        <v>25</v>
      </c>
      <c r="K128" s="176"/>
    </row>
    <row r="129" spans="1:14" ht="15.75">
      <c r="A129" s="66"/>
      <c r="B129" s="68" t="s">
        <v>58</v>
      </c>
      <c r="C129" s="7"/>
      <c r="D129" s="78"/>
      <c r="E129" s="175"/>
      <c r="F129" s="175"/>
      <c r="G129" s="175"/>
      <c r="H129" s="175"/>
      <c r="I129" s="177"/>
      <c r="J129" s="232"/>
      <c r="K129" s="176"/>
    </row>
    <row r="130" spans="1:14" ht="15.75">
      <c r="A130" s="66"/>
      <c r="B130" s="193" t="s">
        <v>155</v>
      </c>
      <c r="C130" s="7"/>
      <c r="D130" s="78" t="s">
        <v>143</v>
      </c>
      <c r="E130" s="175">
        <v>15</v>
      </c>
      <c r="F130" s="175">
        <v>15</v>
      </c>
      <c r="G130" s="175"/>
      <c r="H130" s="175"/>
      <c r="I130" s="198"/>
      <c r="J130" s="232">
        <v>25</v>
      </c>
      <c r="K130" s="176"/>
    </row>
    <row r="131" spans="1:14" ht="15.75">
      <c r="A131" s="66"/>
      <c r="B131" s="68" t="s">
        <v>59</v>
      </c>
      <c r="C131" s="7"/>
      <c r="D131" s="78"/>
      <c r="E131" s="175"/>
      <c r="F131" s="175"/>
      <c r="G131" s="175"/>
      <c r="H131" s="175"/>
      <c r="I131" s="177"/>
      <c r="J131" s="232"/>
      <c r="K131" s="176"/>
    </row>
    <row r="132" spans="1:14" ht="15.75">
      <c r="A132" s="66"/>
      <c r="B132" s="68" t="s">
        <v>60</v>
      </c>
      <c r="C132" s="7"/>
      <c r="D132" s="78"/>
      <c r="E132" s="175"/>
      <c r="F132" s="175"/>
      <c r="G132" s="175"/>
      <c r="H132" s="175"/>
      <c r="I132" s="177"/>
      <c r="J132" s="232"/>
      <c r="K132" s="176"/>
    </row>
    <row r="133" spans="1:14" ht="15.75">
      <c r="A133" s="66"/>
      <c r="B133" s="68"/>
      <c r="C133" s="7"/>
      <c r="D133" s="78"/>
      <c r="E133" s="175"/>
      <c r="F133" s="175"/>
      <c r="G133" s="175"/>
      <c r="H133" s="175"/>
      <c r="I133" s="198"/>
      <c r="J133" s="232"/>
      <c r="K133" s="176"/>
    </row>
    <row r="134" spans="1:14" ht="15.75">
      <c r="A134" s="66"/>
      <c r="B134" s="68" t="s">
        <v>61</v>
      </c>
      <c r="C134" s="7"/>
      <c r="D134" s="78"/>
      <c r="E134" s="175"/>
      <c r="F134" s="175"/>
      <c r="G134" s="175"/>
      <c r="H134" s="175"/>
      <c r="I134" s="177"/>
      <c r="J134" s="232"/>
      <c r="K134" s="176"/>
    </row>
    <row r="135" spans="1:14" ht="15.75">
      <c r="A135" s="66"/>
      <c r="B135" s="262" t="s">
        <v>281</v>
      </c>
      <c r="C135" s="7"/>
      <c r="D135" s="78" t="s">
        <v>143</v>
      </c>
      <c r="E135" s="175">
        <v>15</v>
      </c>
      <c r="F135" s="175">
        <v>15</v>
      </c>
      <c r="G135" s="175"/>
      <c r="H135" s="175"/>
      <c r="I135" s="177"/>
      <c r="J135" s="232">
        <v>25</v>
      </c>
      <c r="K135" s="176"/>
    </row>
    <row r="136" spans="1:14">
      <c r="A136" s="66"/>
      <c r="B136" s="270" t="s">
        <v>170</v>
      </c>
      <c r="C136" s="7"/>
      <c r="D136" s="78" t="s">
        <v>128</v>
      </c>
      <c r="E136" s="175">
        <v>15</v>
      </c>
      <c r="F136" s="175">
        <v>15</v>
      </c>
      <c r="G136" s="175"/>
      <c r="H136" s="175"/>
      <c r="I136" s="168"/>
      <c r="J136" s="232">
        <v>25</v>
      </c>
      <c r="K136" s="176"/>
    </row>
    <row r="137" spans="1:14">
      <c r="A137" s="746" t="s">
        <v>26</v>
      </c>
      <c r="B137" s="747"/>
      <c r="C137" s="747"/>
      <c r="D137" s="747"/>
      <c r="E137" s="747"/>
      <c r="F137" s="747"/>
      <c r="G137" s="747"/>
      <c r="H137" s="747"/>
      <c r="I137" s="747"/>
      <c r="J137" s="747"/>
      <c r="K137" s="748"/>
    </row>
    <row r="138" spans="1:14" ht="15.75">
      <c r="A138" s="171">
        <v>6.1</v>
      </c>
      <c r="B138" s="91" t="s">
        <v>62</v>
      </c>
      <c r="C138" s="161" t="str">
        <f>"0912-7LEK-C"&amp;A138&amp;"-"&amp;UPPER(LEFT(B138,1))&amp;"iIT"</f>
        <v>0912-7LEK-C6,1-AiIT</v>
      </c>
      <c r="D138" s="162" t="s">
        <v>236</v>
      </c>
      <c r="E138" s="163">
        <v>95</v>
      </c>
      <c r="F138" s="163">
        <v>30</v>
      </c>
      <c r="G138" s="163">
        <v>30</v>
      </c>
      <c r="H138" s="163">
        <v>35</v>
      </c>
      <c r="I138" s="163">
        <v>0</v>
      </c>
      <c r="J138" s="237">
        <v>125</v>
      </c>
      <c r="K138" s="163">
        <v>5</v>
      </c>
    </row>
    <row r="139" spans="1:14" ht="15.75">
      <c r="A139" s="3">
        <v>6.2</v>
      </c>
      <c r="B139" s="68" t="s">
        <v>63</v>
      </c>
      <c r="C139" s="64" t="str">
        <f>"0912-7LEK-C"&amp;A139&amp;"-"&amp;UPPER(LEFT(B139,1))&amp;""</f>
        <v>0912-7LEK-C6,2-C</v>
      </c>
      <c r="D139" s="78" t="s">
        <v>237</v>
      </c>
      <c r="E139" s="79">
        <v>255</v>
      </c>
      <c r="F139" s="79">
        <v>90</v>
      </c>
      <c r="G139" s="79">
        <v>90</v>
      </c>
      <c r="H139" s="79">
        <v>75</v>
      </c>
      <c r="I139" s="79">
        <v>0</v>
      </c>
      <c r="J139" s="235">
        <v>375</v>
      </c>
      <c r="K139" s="79">
        <v>15</v>
      </c>
    </row>
    <row r="140" spans="1:14" ht="15.75">
      <c r="A140" s="3">
        <v>6.3</v>
      </c>
      <c r="B140" s="68" t="s">
        <v>64</v>
      </c>
      <c r="C140" s="64" t="str">
        <f>"0912-7LEK-C"&amp;A140&amp;"-"&amp;UPPER(LEFT(B140,1))&amp;"D"</f>
        <v>0912-7LEK-C6,3-CD</v>
      </c>
      <c r="D140" s="78">
        <v>9</v>
      </c>
      <c r="E140" s="79">
        <v>55</v>
      </c>
      <c r="F140" s="79">
        <v>15</v>
      </c>
      <c r="G140" s="79">
        <v>15</v>
      </c>
      <c r="H140" s="79">
        <v>25</v>
      </c>
      <c r="I140" s="79">
        <v>0</v>
      </c>
      <c r="J140" s="235">
        <v>75</v>
      </c>
      <c r="K140" s="79">
        <v>3</v>
      </c>
    </row>
    <row r="141" spans="1:14" ht="15.75">
      <c r="A141" s="3">
        <v>6.4</v>
      </c>
      <c r="B141" s="68" t="s">
        <v>65</v>
      </c>
      <c r="C141" s="64" t="str">
        <f>"0912-7LEK-C"&amp;A141&amp;"-"&amp;UPPER(LEFT(B141,1))&amp;"iT"</f>
        <v>0912-7LEK-C6,4-OiT</v>
      </c>
      <c r="D141" s="78">
        <v>10</v>
      </c>
      <c r="E141" s="79">
        <v>55</v>
      </c>
      <c r="F141" s="79">
        <v>15</v>
      </c>
      <c r="G141" s="79">
        <v>15</v>
      </c>
      <c r="H141" s="79">
        <v>25</v>
      </c>
      <c r="I141" s="79">
        <v>0</v>
      </c>
      <c r="J141" s="235">
        <v>75</v>
      </c>
      <c r="K141" s="79">
        <v>3</v>
      </c>
    </row>
    <row r="142" spans="1:14" ht="15.75">
      <c r="A142" s="3">
        <v>6.5</v>
      </c>
      <c r="B142" s="68" t="s">
        <v>66</v>
      </c>
      <c r="C142" s="64" t="str">
        <f>"0912-7LEK-C"&amp;A142&amp;"-"&amp;UPPER(LEFT(B142,1))&amp;"O"</f>
        <v>0912-7LEK-C6,5-CO</v>
      </c>
      <c r="D142" s="78">
        <v>10</v>
      </c>
      <c r="E142" s="79">
        <v>45</v>
      </c>
      <c r="F142" s="79">
        <v>15</v>
      </c>
      <c r="G142" s="79">
        <v>10</v>
      </c>
      <c r="H142" s="79">
        <v>20</v>
      </c>
      <c r="I142" s="79">
        <v>0</v>
      </c>
      <c r="J142" s="235">
        <v>50</v>
      </c>
      <c r="K142" s="79">
        <v>2</v>
      </c>
      <c r="N142" s="197"/>
    </row>
    <row r="143" spans="1:14" ht="15.75">
      <c r="A143" s="3">
        <v>6.6</v>
      </c>
      <c r="B143" s="71" t="s">
        <v>67</v>
      </c>
      <c r="C143" s="64" t="str">
        <f>"0912-7LEK-C"&amp;A143&amp;"-"&amp;UPPER(LEFT(B143,1))&amp;""</f>
        <v>0912-7LEK-C6,6-U</v>
      </c>
      <c r="D143" s="78">
        <v>10</v>
      </c>
      <c r="E143" s="79">
        <v>45</v>
      </c>
      <c r="F143" s="79">
        <v>15</v>
      </c>
      <c r="G143" s="79">
        <v>15</v>
      </c>
      <c r="H143" s="79">
        <v>15</v>
      </c>
      <c r="I143" s="79">
        <v>0</v>
      </c>
      <c r="J143" s="235">
        <v>75</v>
      </c>
      <c r="K143" s="79">
        <v>3</v>
      </c>
    </row>
    <row r="144" spans="1:14" ht="15.75">
      <c r="A144" s="3">
        <v>6.7</v>
      </c>
      <c r="B144" s="71" t="s">
        <v>68</v>
      </c>
      <c r="C144" s="64" t="str">
        <f>"0912-7LEK-C"&amp;A144&amp;"-"&amp;UPPER(LEFT(B144,1))&amp;""</f>
        <v>0912-7LEK-C6,7-O</v>
      </c>
      <c r="D144" s="78">
        <v>9</v>
      </c>
      <c r="E144" s="79">
        <v>45</v>
      </c>
      <c r="F144" s="79">
        <v>15</v>
      </c>
      <c r="G144" s="79">
        <v>30</v>
      </c>
      <c r="H144" s="79">
        <v>0</v>
      </c>
      <c r="I144" s="79">
        <v>0</v>
      </c>
      <c r="J144" s="235">
        <v>75</v>
      </c>
      <c r="K144" s="79">
        <v>3</v>
      </c>
    </row>
    <row r="145" spans="1:11" ht="18.75" customHeight="1">
      <c r="A145" s="3">
        <v>6.8</v>
      </c>
      <c r="B145" s="71" t="s">
        <v>69</v>
      </c>
      <c r="C145" s="64" t="str">
        <f>"0912-7LEK-C"&amp;A145&amp;"-"&amp;UPPER(LEFT(B145,1))&amp;"R"</f>
        <v>0912-7LEK-C6,8-MR</v>
      </c>
      <c r="D145" s="78">
        <v>10</v>
      </c>
      <c r="E145" s="79">
        <v>40</v>
      </c>
      <c r="F145" s="79">
        <v>15</v>
      </c>
      <c r="G145" s="79">
        <v>10</v>
      </c>
      <c r="H145" s="79">
        <v>15</v>
      </c>
      <c r="I145" s="79">
        <v>0</v>
      </c>
      <c r="J145" s="235">
        <v>50</v>
      </c>
      <c r="K145" s="79">
        <v>2</v>
      </c>
    </row>
    <row r="146" spans="1:11" ht="15.75">
      <c r="A146" s="3">
        <v>6.9</v>
      </c>
      <c r="B146" s="71" t="s">
        <v>70</v>
      </c>
      <c r="C146" s="64" t="str">
        <f>"0912-7LEK-C"&amp;A146&amp;"-"&amp;UPPER(LEFT(B146,1))&amp;"iP"</f>
        <v>0912-7LEK-C6,9-GiP</v>
      </c>
      <c r="D146" s="78" t="s">
        <v>238</v>
      </c>
      <c r="E146" s="79">
        <v>110</v>
      </c>
      <c r="F146" s="79">
        <v>30</v>
      </c>
      <c r="G146" s="79">
        <v>55</v>
      </c>
      <c r="H146" s="79">
        <v>25</v>
      </c>
      <c r="I146" s="79">
        <v>0</v>
      </c>
      <c r="J146" s="235">
        <v>150</v>
      </c>
      <c r="K146" s="79">
        <v>6</v>
      </c>
    </row>
    <row r="147" spans="1:11" ht="15.75">
      <c r="A147" s="70">
        <v>6.1</v>
      </c>
      <c r="B147" s="71" t="s">
        <v>71</v>
      </c>
      <c r="C147" s="64" t="str">
        <f>"0912-7LEK-C"&amp;A147&amp;"-"&amp;UPPER(LEFT(B147,1))&amp;""</f>
        <v>0912-7LEK-C6,1-O</v>
      </c>
      <c r="D147" s="78">
        <v>10</v>
      </c>
      <c r="E147" s="79">
        <v>40</v>
      </c>
      <c r="F147" s="79">
        <v>15</v>
      </c>
      <c r="G147" s="79">
        <v>10</v>
      </c>
      <c r="H147" s="79">
        <v>15</v>
      </c>
      <c r="I147" s="79">
        <v>0</v>
      </c>
      <c r="J147" s="235">
        <v>50</v>
      </c>
      <c r="K147" s="79">
        <v>2</v>
      </c>
    </row>
    <row r="148" spans="1:11" ht="15.75">
      <c r="A148" s="70">
        <v>6.11</v>
      </c>
      <c r="B148" s="71" t="s">
        <v>72</v>
      </c>
      <c r="C148" s="64" t="str">
        <f>"0912-7LEK-C"&amp;A148&amp;"-"&amp;UPPER(LEFT(B148,1))&amp;""</f>
        <v>0912-7LEK-C6,11-N</v>
      </c>
      <c r="D148" s="78">
        <v>10</v>
      </c>
      <c r="E148" s="79">
        <v>45</v>
      </c>
      <c r="F148" s="79">
        <v>15</v>
      </c>
      <c r="G148" s="79">
        <v>15</v>
      </c>
      <c r="H148" s="79">
        <v>15</v>
      </c>
      <c r="I148" s="79">
        <v>0</v>
      </c>
      <c r="J148" s="235">
        <v>50</v>
      </c>
      <c r="K148" s="79">
        <v>2</v>
      </c>
    </row>
    <row r="149" spans="1:11" ht="15.75">
      <c r="A149" s="70">
        <v>6.12</v>
      </c>
      <c r="B149" s="71" t="s">
        <v>73</v>
      </c>
      <c r="C149" s="64" t="str">
        <f>"0912-7LEK-C"&amp;A149&amp;"-"&amp;UPPER(LEFT(B149,1))&amp;""</f>
        <v>0912-7LEK-C6,12-T</v>
      </c>
      <c r="D149" s="78" t="s">
        <v>125</v>
      </c>
      <c r="E149" s="79">
        <v>15</v>
      </c>
      <c r="F149" s="79">
        <v>15</v>
      </c>
      <c r="G149" s="79">
        <v>0</v>
      </c>
      <c r="H149" s="79">
        <v>0</v>
      </c>
      <c r="I149" s="79">
        <v>0</v>
      </c>
      <c r="J149" s="235">
        <v>25</v>
      </c>
      <c r="K149" s="79">
        <v>1</v>
      </c>
    </row>
    <row r="150" spans="1:11" ht="15.75">
      <c r="A150" s="70">
        <v>6.13</v>
      </c>
      <c r="B150" s="71" t="s">
        <v>74</v>
      </c>
      <c r="C150" s="64" t="str">
        <f>"0912-7LEK-C"&amp;A150&amp;"-"&amp;UPPER(LEFT(B150,1))&amp;"O"</f>
        <v>0912-7LEK-C6,13-DO</v>
      </c>
      <c r="D150" s="78">
        <v>8</v>
      </c>
      <c r="E150" s="79">
        <v>55</v>
      </c>
      <c r="F150" s="79">
        <v>15</v>
      </c>
      <c r="G150" s="79">
        <v>15</v>
      </c>
      <c r="H150" s="79">
        <v>25</v>
      </c>
      <c r="I150" s="79">
        <v>0</v>
      </c>
      <c r="J150" s="235">
        <v>75</v>
      </c>
      <c r="K150" s="79">
        <v>3</v>
      </c>
    </row>
    <row r="151" spans="1:11">
      <c r="A151" s="753" t="s">
        <v>9</v>
      </c>
      <c r="B151" s="754"/>
      <c r="C151" s="754"/>
      <c r="D151" s="755"/>
      <c r="E151" s="90">
        <f t="shared" ref="E151:K151" si="7">SUM(E138:E150)</f>
        <v>900</v>
      </c>
      <c r="F151" s="90">
        <f t="shared" si="7"/>
        <v>300</v>
      </c>
      <c r="G151" s="90">
        <f t="shared" si="7"/>
        <v>310</v>
      </c>
      <c r="H151" s="90">
        <f t="shared" si="7"/>
        <v>290</v>
      </c>
      <c r="I151" s="90">
        <f t="shared" si="7"/>
        <v>0</v>
      </c>
      <c r="J151" s="231">
        <f t="shared" si="7"/>
        <v>1250</v>
      </c>
      <c r="K151" s="90">
        <f t="shared" si="7"/>
        <v>50</v>
      </c>
    </row>
    <row r="152" spans="1:11" ht="15.75">
      <c r="A152" s="208"/>
      <c r="B152" s="205" t="s">
        <v>62</v>
      </c>
      <c r="C152" s="64"/>
      <c r="D152" s="209"/>
      <c r="E152" s="210"/>
      <c r="F152" s="210"/>
      <c r="G152" s="210"/>
      <c r="H152" s="210"/>
      <c r="I152" s="210"/>
      <c r="J152" s="238"/>
      <c r="K152" s="210"/>
    </row>
    <row r="153" spans="1:11" ht="15.75">
      <c r="A153" s="208"/>
      <c r="B153" s="212" t="s">
        <v>283</v>
      </c>
      <c r="C153" s="64"/>
      <c r="D153" s="78" t="s">
        <v>125</v>
      </c>
      <c r="E153" s="175">
        <v>35</v>
      </c>
      <c r="F153" s="175">
        <v>15</v>
      </c>
      <c r="G153" s="175">
        <v>20</v>
      </c>
      <c r="H153" s="175"/>
      <c r="I153" s="198"/>
      <c r="J153" s="232">
        <v>50</v>
      </c>
      <c r="K153" s="210"/>
    </row>
    <row r="154" spans="1:11" ht="15.75">
      <c r="A154" s="208"/>
      <c r="B154" s="212" t="s">
        <v>297</v>
      </c>
      <c r="C154" s="64"/>
      <c r="D154" s="78" t="s">
        <v>140</v>
      </c>
      <c r="E154" s="79">
        <v>15</v>
      </c>
      <c r="F154" s="79">
        <v>15</v>
      </c>
      <c r="G154" s="79"/>
      <c r="H154" s="79"/>
      <c r="I154" s="79"/>
      <c r="J154" s="235">
        <v>25</v>
      </c>
      <c r="K154" s="79"/>
    </row>
    <row r="155" spans="1:11" ht="15.75">
      <c r="A155" s="202"/>
      <c r="B155" s="206" t="s">
        <v>63</v>
      </c>
      <c r="C155" s="7"/>
      <c r="D155" s="203"/>
      <c r="E155" s="175"/>
      <c r="F155" s="175"/>
      <c r="G155" s="175"/>
      <c r="H155" s="175"/>
      <c r="I155" s="175"/>
      <c r="J155" s="231"/>
      <c r="K155" s="175"/>
    </row>
    <row r="156" spans="1:11" ht="15.75">
      <c r="A156" s="202"/>
      <c r="B156" s="243" t="s">
        <v>153</v>
      </c>
      <c r="C156" s="85"/>
      <c r="D156" s="85">
        <v>8</v>
      </c>
      <c r="E156" s="85">
        <v>15</v>
      </c>
      <c r="F156" s="175">
        <v>15</v>
      </c>
      <c r="G156" s="175"/>
      <c r="H156" s="175"/>
      <c r="I156" s="175"/>
      <c r="J156" s="231">
        <v>25</v>
      </c>
      <c r="K156" s="175"/>
    </row>
    <row r="157" spans="1:11" ht="15.75">
      <c r="A157" s="202"/>
      <c r="B157" s="243" t="s">
        <v>167</v>
      </c>
      <c r="C157" s="85"/>
      <c r="D157" s="78" t="s">
        <v>125</v>
      </c>
      <c r="E157" s="175">
        <v>35</v>
      </c>
      <c r="F157" s="175">
        <v>15</v>
      </c>
      <c r="G157" s="175">
        <v>20</v>
      </c>
      <c r="H157" s="175"/>
      <c r="I157" s="198"/>
      <c r="J157" s="232">
        <v>50</v>
      </c>
      <c r="K157" s="175"/>
    </row>
    <row r="158" spans="1:11" ht="15.75">
      <c r="A158" s="202"/>
      <c r="B158" s="254" t="s">
        <v>295</v>
      </c>
      <c r="C158" s="85"/>
      <c r="D158" s="214">
        <v>8</v>
      </c>
      <c r="E158" s="215">
        <v>15</v>
      </c>
      <c r="F158" s="175">
        <v>15</v>
      </c>
      <c r="G158" s="175"/>
      <c r="H158" s="175"/>
      <c r="I158" s="175"/>
      <c r="J158" s="231">
        <v>25</v>
      </c>
      <c r="K158" s="175"/>
    </row>
    <row r="159" spans="1:11" ht="15.75">
      <c r="A159" s="202"/>
      <c r="B159" s="254" t="s">
        <v>175</v>
      </c>
      <c r="C159" s="85"/>
      <c r="D159" s="78" t="s">
        <v>125</v>
      </c>
      <c r="E159" s="175">
        <v>35</v>
      </c>
      <c r="F159" s="175">
        <v>15</v>
      </c>
      <c r="G159" s="175">
        <v>20</v>
      </c>
      <c r="H159" s="175"/>
      <c r="I159" s="198"/>
      <c r="J159" s="232">
        <v>50</v>
      </c>
      <c r="K159" s="175"/>
    </row>
    <row r="160" spans="1:11" ht="15.75">
      <c r="A160" s="202"/>
      <c r="B160" s="206" t="s">
        <v>64</v>
      </c>
      <c r="C160" s="7"/>
      <c r="D160" s="203"/>
      <c r="E160" s="175"/>
      <c r="F160" s="175"/>
      <c r="G160" s="175"/>
      <c r="H160" s="175"/>
      <c r="I160" s="175"/>
      <c r="J160" s="231"/>
      <c r="K160" s="175"/>
    </row>
    <row r="161" spans="1:11" ht="15.75">
      <c r="A161" s="202"/>
      <c r="B161" s="206" t="s">
        <v>65</v>
      </c>
      <c r="C161" s="7"/>
      <c r="D161" s="203"/>
      <c r="E161" s="175"/>
      <c r="F161" s="175"/>
      <c r="G161" s="175"/>
      <c r="H161" s="175"/>
      <c r="I161" s="175"/>
      <c r="J161" s="231"/>
      <c r="K161" s="175"/>
    </row>
    <row r="162" spans="1:11" ht="15.75">
      <c r="A162" s="202"/>
      <c r="B162" s="206" t="s">
        <v>66</v>
      </c>
      <c r="C162" s="7"/>
      <c r="D162" s="203"/>
      <c r="E162" s="175"/>
      <c r="F162" s="175"/>
      <c r="G162" s="175"/>
      <c r="H162" s="175"/>
      <c r="I162" s="175"/>
      <c r="J162" s="231"/>
      <c r="K162" s="175"/>
    </row>
    <row r="163" spans="1:11" ht="15.75">
      <c r="A163" s="202"/>
      <c r="B163" s="207" t="s">
        <v>67</v>
      </c>
      <c r="C163" s="7"/>
      <c r="D163" s="203"/>
      <c r="E163" s="175"/>
      <c r="F163" s="175"/>
      <c r="G163" s="175"/>
      <c r="H163" s="175"/>
      <c r="I163" s="175"/>
      <c r="J163" s="231"/>
      <c r="K163" s="175"/>
    </row>
    <row r="164" spans="1:11" ht="15.75">
      <c r="A164" s="202"/>
      <c r="B164" s="207" t="s">
        <v>68</v>
      </c>
      <c r="C164" s="7"/>
      <c r="D164" s="203"/>
      <c r="E164" s="175"/>
      <c r="F164" s="175"/>
      <c r="G164" s="175"/>
      <c r="H164" s="175"/>
      <c r="I164" s="175"/>
      <c r="J164" s="231"/>
      <c r="K164" s="175"/>
    </row>
    <row r="165" spans="1:11" ht="15.75">
      <c r="A165" s="202"/>
      <c r="B165" s="207" t="s">
        <v>69</v>
      </c>
      <c r="C165" s="7"/>
      <c r="D165" s="203"/>
      <c r="E165" s="175"/>
      <c r="F165" s="175"/>
      <c r="G165" s="175"/>
      <c r="H165" s="175"/>
      <c r="I165" s="175"/>
      <c r="J165" s="231"/>
      <c r="K165" s="175"/>
    </row>
    <row r="166" spans="1:11" ht="15.75">
      <c r="A166" s="202"/>
      <c r="B166" s="207" t="s">
        <v>70</v>
      </c>
      <c r="C166" s="7"/>
      <c r="D166" s="203"/>
      <c r="E166" s="175"/>
      <c r="F166" s="175"/>
      <c r="G166" s="175"/>
      <c r="H166" s="175"/>
      <c r="I166" s="175"/>
      <c r="J166" s="231"/>
      <c r="K166" s="175"/>
    </row>
    <row r="167" spans="1:11" ht="15.75">
      <c r="A167" s="202"/>
      <c r="B167" s="255" t="s">
        <v>299</v>
      </c>
      <c r="C167" s="7"/>
      <c r="D167" s="78" t="s">
        <v>140</v>
      </c>
      <c r="E167" s="175">
        <v>15</v>
      </c>
      <c r="F167" s="175">
        <v>15</v>
      </c>
      <c r="G167" s="175"/>
      <c r="H167" s="175"/>
      <c r="I167" s="198"/>
      <c r="J167" s="232">
        <v>25</v>
      </c>
      <c r="K167" s="175"/>
    </row>
    <row r="168" spans="1:11" ht="15.75">
      <c r="A168" s="202"/>
      <c r="B168" s="207" t="s">
        <v>71</v>
      </c>
      <c r="C168" s="7"/>
      <c r="D168" s="203"/>
      <c r="E168" s="175"/>
      <c r="F168" s="175"/>
      <c r="G168" s="175"/>
      <c r="H168" s="175"/>
      <c r="I168" s="175"/>
      <c r="J168" s="231"/>
      <c r="K168" s="175"/>
    </row>
    <row r="169" spans="1:11" ht="15.75">
      <c r="A169" s="202"/>
      <c r="B169" s="207" t="s">
        <v>72</v>
      </c>
      <c r="C169" s="7"/>
      <c r="D169" s="203"/>
      <c r="E169" s="175"/>
      <c r="F169" s="175"/>
      <c r="G169" s="175"/>
      <c r="H169" s="175"/>
      <c r="I169" s="175"/>
      <c r="J169" s="231"/>
      <c r="K169" s="175"/>
    </row>
    <row r="170" spans="1:11" ht="15.75">
      <c r="A170" s="202"/>
      <c r="B170" s="207" t="s">
        <v>73</v>
      </c>
      <c r="C170" s="7"/>
      <c r="D170" s="203"/>
      <c r="E170" s="175"/>
      <c r="F170" s="175"/>
      <c r="G170" s="175"/>
      <c r="H170" s="175"/>
      <c r="I170" s="175"/>
      <c r="J170" s="231"/>
      <c r="K170" s="175"/>
    </row>
    <row r="171" spans="1:11" ht="15.75">
      <c r="A171" s="202"/>
      <c r="B171" s="207" t="s">
        <v>74</v>
      </c>
      <c r="C171" s="7"/>
      <c r="D171" s="203"/>
      <c r="E171" s="175"/>
      <c r="F171" s="175"/>
      <c r="G171" s="175"/>
      <c r="H171" s="175"/>
      <c r="I171" s="175"/>
      <c r="J171" s="231"/>
      <c r="K171" s="175"/>
    </row>
    <row r="172" spans="1:11" ht="15.75">
      <c r="A172" s="266"/>
      <c r="B172" s="267" t="s">
        <v>285</v>
      </c>
      <c r="C172" s="258"/>
      <c r="D172" s="89" t="s">
        <v>125</v>
      </c>
      <c r="E172" s="175">
        <v>35</v>
      </c>
      <c r="F172" s="175">
        <v>15</v>
      </c>
      <c r="G172" s="175">
        <v>20</v>
      </c>
      <c r="H172" s="175"/>
      <c r="I172" s="198"/>
      <c r="J172" s="232">
        <v>50</v>
      </c>
      <c r="K172" s="175"/>
    </row>
    <row r="173" spans="1:11">
      <c r="A173" s="85"/>
      <c r="B173" s="268" t="s">
        <v>169</v>
      </c>
      <c r="C173" s="269"/>
      <c r="D173" s="269">
        <v>10</v>
      </c>
      <c r="E173" s="85">
        <v>15</v>
      </c>
      <c r="F173" s="85">
        <v>15</v>
      </c>
      <c r="G173" s="85"/>
      <c r="H173" s="85"/>
      <c r="I173" s="85"/>
      <c r="J173" s="85">
        <v>25</v>
      </c>
      <c r="K173" s="85"/>
    </row>
    <row r="174" spans="1:11">
      <c r="A174" s="807" t="s">
        <v>266</v>
      </c>
      <c r="B174" s="808"/>
      <c r="C174" s="808"/>
      <c r="D174" s="808"/>
      <c r="E174" s="808"/>
      <c r="F174" s="808"/>
      <c r="G174" s="808"/>
      <c r="H174" s="808"/>
      <c r="I174" s="808"/>
      <c r="J174" s="808"/>
      <c r="K174" s="809"/>
    </row>
    <row r="175" spans="1:11" ht="15.75">
      <c r="A175" s="66"/>
      <c r="B175" s="68"/>
      <c r="C175" s="7"/>
      <c r="D175" s="78"/>
      <c r="E175" s="175"/>
      <c r="F175" s="175"/>
      <c r="G175" s="175"/>
      <c r="H175" s="175"/>
      <c r="I175" s="168"/>
      <c r="J175" s="232"/>
      <c r="K175" s="176"/>
    </row>
    <row r="176" spans="1:11" ht="15.75">
      <c r="A176" s="66"/>
      <c r="B176" s="68"/>
      <c r="C176" s="7"/>
      <c r="D176" s="78"/>
      <c r="E176" s="175"/>
      <c r="F176" s="175"/>
      <c r="G176" s="175"/>
      <c r="H176" s="175"/>
      <c r="I176" s="168"/>
      <c r="J176" s="232"/>
      <c r="K176" s="176"/>
    </row>
    <row r="177" spans="1:11" s="95" customFormat="1">
      <c r="A177" s="746" t="s">
        <v>27</v>
      </c>
      <c r="B177" s="747"/>
      <c r="C177" s="747"/>
      <c r="D177" s="747"/>
      <c r="E177" s="747"/>
      <c r="F177" s="747"/>
      <c r="G177" s="747"/>
      <c r="H177" s="747"/>
      <c r="I177" s="747"/>
      <c r="J177" s="747"/>
      <c r="K177" s="748"/>
    </row>
    <row r="178" spans="1:11" ht="15.75">
      <c r="A178" s="171">
        <v>7.1</v>
      </c>
      <c r="B178" s="94" t="s">
        <v>75</v>
      </c>
      <c r="C178" s="64" t="str">
        <f>"0912-7LEK-C"&amp;A178&amp;"-"&amp;UPPER(LEFT(B178,1))</f>
        <v>0912-7LEK-C7,1-H</v>
      </c>
      <c r="D178" s="92" t="s">
        <v>234</v>
      </c>
      <c r="E178" s="93">
        <v>15</v>
      </c>
      <c r="F178" s="93">
        <v>15</v>
      </c>
      <c r="G178" s="93">
        <v>0</v>
      </c>
      <c r="H178" s="93">
        <v>0</v>
      </c>
      <c r="I178" s="93">
        <v>0</v>
      </c>
      <c r="J178" s="234">
        <v>25</v>
      </c>
      <c r="K178" s="93">
        <v>1</v>
      </c>
    </row>
    <row r="179" spans="1:11" ht="15.75">
      <c r="A179" s="3">
        <v>7.2</v>
      </c>
      <c r="B179" s="71" t="s">
        <v>76</v>
      </c>
      <c r="C179" s="7" t="str">
        <f>"0912-7LEK-C"&amp;A179&amp;"-"&amp;UPPER(LEFT(B179,1))</f>
        <v>0912-7LEK-C7,2-E</v>
      </c>
      <c r="D179" s="78" t="s">
        <v>234</v>
      </c>
      <c r="E179" s="79">
        <v>15</v>
      </c>
      <c r="F179" s="79">
        <v>15</v>
      </c>
      <c r="G179" s="79">
        <v>0</v>
      </c>
      <c r="H179" s="79">
        <v>0</v>
      </c>
      <c r="I179" s="79">
        <v>0</v>
      </c>
      <c r="J179" s="235">
        <v>25</v>
      </c>
      <c r="K179" s="79">
        <v>1</v>
      </c>
    </row>
    <row r="180" spans="1:11" ht="15.75">
      <c r="A180" s="3">
        <v>7.3</v>
      </c>
      <c r="B180" s="71" t="s">
        <v>77</v>
      </c>
      <c r="C180" s="7" t="str">
        <f>"0912-7LEK-C"&amp;A180&amp;"-"&amp;UPPER(LEFT(B180,1))</f>
        <v>0912-7LEK-C7,3-Z</v>
      </c>
      <c r="D180" s="78" t="s">
        <v>139</v>
      </c>
      <c r="E180" s="79">
        <v>15</v>
      </c>
      <c r="F180" s="79">
        <v>15</v>
      </c>
      <c r="G180" s="79">
        <v>0</v>
      </c>
      <c r="H180" s="79">
        <v>0</v>
      </c>
      <c r="I180" s="79">
        <v>0</v>
      </c>
      <c r="J180" s="235">
        <v>25</v>
      </c>
      <c r="K180" s="79">
        <v>1</v>
      </c>
    </row>
    <row r="181" spans="1:11" ht="15.75">
      <c r="A181" s="3">
        <v>7.4</v>
      </c>
      <c r="B181" s="71" t="s">
        <v>78</v>
      </c>
      <c r="C181" s="7" t="str">
        <f>"0912-7LEK-C"&amp;A181&amp;"-"&amp;UPPER(LEFT(B181,1))</f>
        <v>0912-7LEK-C7,4-P</v>
      </c>
      <c r="D181" s="78" t="s">
        <v>125</v>
      </c>
      <c r="E181" s="79">
        <v>15</v>
      </c>
      <c r="F181" s="79">
        <v>15</v>
      </c>
      <c r="G181" s="79">
        <v>0</v>
      </c>
      <c r="H181" s="79">
        <v>0</v>
      </c>
      <c r="I181" s="79">
        <v>0</v>
      </c>
      <c r="J181" s="235">
        <v>25</v>
      </c>
      <c r="K181" s="79">
        <v>1</v>
      </c>
    </row>
    <row r="182" spans="1:11" ht="15.75">
      <c r="A182" s="3">
        <v>7.5</v>
      </c>
      <c r="B182" s="71" t="s">
        <v>79</v>
      </c>
      <c r="C182" s="7" t="str">
        <f>"0912-7LEK-C"&amp;A182&amp;"-"&amp;UPPER(LEFT(B182,1))</f>
        <v>0912-7LEK-C7,5-M</v>
      </c>
      <c r="D182" s="78">
        <v>10</v>
      </c>
      <c r="E182" s="79">
        <v>45</v>
      </c>
      <c r="F182" s="79">
        <v>10</v>
      </c>
      <c r="G182" s="79">
        <v>15</v>
      </c>
      <c r="H182" s="79">
        <v>20</v>
      </c>
      <c r="I182" s="79">
        <v>0</v>
      </c>
      <c r="J182" s="235">
        <v>55</v>
      </c>
      <c r="K182" s="79">
        <v>2</v>
      </c>
    </row>
    <row r="183" spans="1:11">
      <c r="A183" s="753" t="s">
        <v>9</v>
      </c>
      <c r="B183" s="754"/>
      <c r="C183" s="754"/>
      <c r="D183" s="755"/>
      <c r="E183" s="90">
        <f>SUM(E178:E182)</f>
        <v>105</v>
      </c>
      <c r="F183" s="90">
        <f t="shared" ref="F183:K183" si="8">SUM(F178:F182)</f>
        <v>70</v>
      </c>
      <c r="G183" s="90">
        <f t="shared" si="8"/>
        <v>15</v>
      </c>
      <c r="H183" s="90">
        <f t="shared" si="8"/>
        <v>20</v>
      </c>
      <c r="I183" s="90">
        <f t="shared" si="8"/>
        <v>0</v>
      </c>
      <c r="J183" s="231">
        <f t="shared" si="8"/>
        <v>155</v>
      </c>
      <c r="K183" s="90">
        <f t="shared" si="8"/>
        <v>6</v>
      </c>
    </row>
    <row r="184" spans="1:11">
      <c r="A184" s="85"/>
      <c r="B184" s="217"/>
      <c r="C184" s="217"/>
      <c r="D184" s="217"/>
      <c r="E184" s="218"/>
      <c r="F184" s="218"/>
      <c r="G184" s="218"/>
      <c r="H184" s="218"/>
      <c r="I184" s="218"/>
      <c r="J184" s="235"/>
      <c r="K184" s="218"/>
    </row>
    <row r="185" spans="1:11">
      <c r="A185" s="217"/>
      <c r="B185" s="219" t="s">
        <v>262</v>
      </c>
      <c r="C185" s="217"/>
      <c r="D185" s="217"/>
      <c r="E185" s="218"/>
      <c r="F185" s="218"/>
      <c r="G185" s="218"/>
      <c r="H185" s="218"/>
      <c r="I185" s="218"/>
      <c r="J185" s="235"/>
      <c r="K185" s="218"/>
    </row>
    <row r="186" spans="1:11">
      <c r="A186" s="220"/>
      <c r="B186" s="221"/>
      <c r="C186" s="222"/>
      <c r="D186" s="222"/>
      <c r="E186" s="223"/>
      <c r="F186" s="223"/>
      <c r="G186" s="223"/>
      <c r="H186" s="223"/>
      <c r="I186" s="223"/>
      <c r="J186" s="239"/>
      <c r="K186" s="224"/>
    </row>
    <row r="187" spans="1:11">
      <c r="A187" s="220"/>
      <c r="B187" s="221"/>
      <c r="C187" s="222"/>
      <c r="D187" s="222"/>
      <c r="E187" s="223"/>
      <c r="F187" s="223"/>
      <c r="G187" s="223"/>
      <c r="H187" s="223"/>
      <c r="I187" s="223"/>
      <c r="J187" s="239"/>
      <c r="K187" s="224"/>
    </row>
    <row r="188" spans="1:11">
      <c r="A188" s="746" t="s">
        <v>28</v>
      </c>
      <c r="B188" s="747"/>
      <c r="C188" s="747"/>
      <c r="D188" s="747"/>
      <c r="E188" s="747"/>
      <c r="F188" s="747"/>
      <c r="G188" s="747"/>
      <c r="H188" s="747"/>
      <c r="I188" s="747"/>
      <c r="J188" s="747"/>
      <c r="K188" s="748"/>
    </row>
    <row r="189" spans="1:11" ht="15.75">
      <c r="A189" s="171">
        <v>8.1</v>
      </c>
      <c r="B189" s="94" t="s">
        <v>80</v>
      </c>
      <c r="C189" s="64" t="str">
        <f>"0912-7LEK-C"&amp;A189&amp;"-"&amp;UPPER(LEFT(B189,1))</f>
        <v>0912-7LEK-C8,1-C</v>
      </c>
      <c r="D189" s="92" t="s">
        <v>129</v>
      </c>
      <c r="E189" s="93">
        <v>240</v>
      </c>
      <c r="F189" s="93">
        <v>0</v>
      </c>
      <c r="G189" s="93">
        <v>0</v>
      </c>
      <c r="H189" s="93">
        <v>240</v>
      </c>
      <c r="I189" s="93">
        <v>0</v>
      </c>
      <c r="J189" s="234">
        <v>400</v>
      </c>
      <c r="K189" s="93">
        <v>16</v>
      </c>
    </row>
    <row r="190" spans="1:11" ht="15.75">
      <c r="A190" s="3">
        <v>8.1999999999999993</v>
      </c>
      <c r="B190" s="71" t="s">
        <v>51</v>
      </c>
      <c r="C190" s="7" t="str">
        <f t="shared" ref="C190:C196" si="9">"0912-7LEK-C"&amp;A190&amp;"-"&amp;UPPER(LEFT(B190,1))</f>
        <v>0912-7LEK-C8,2-P</v>
      </c>
      <c r="D190" s="78" t="s">
        <v>129</v>
      </c>
      <c r="E190" s="79">
        <v>120</v>
      </c>
      <c r="F190" s="79">
        <v>0</v>
      </c>
      <c r="G190" s="79">
        <v>0</v>
      </c>
      <c r="H190" s="79">
        <v>120</v>
      </c>
      <c r="I190" s="79">
        <v>0</v>
      </c>
      <c r="J190" s="235">
        <v>200</v>
      </c>
      <c r="K190" s="79">
        <v>8</v>
      </c>
    </row>
    <row r="191" spans="1:11" ht="15.75">
      <c r="A191" s="3">
        <v>8.3000000000000007</v>
      </c>
      <c r="B191" s="71" t="s">
        <v>81</v>
      </c>
      <c r="C191" s="7" t="str">
        <f t="shared" si="9"/>
        <v>0912-7LEK-C8,3-C</v>
      </c>
      <c r="D191" s="78" t="s">
        <v>241</v>
      </c>
      <c r="E191" s="79">
        <v>120</v>
      </c>
      <c r="F191" s="79">
        <v>0</v>
      </c>
      <c r="G191" s="79">
        <v>0</v>
      </c>
      <c r="H191" s="79">
        <v>120</v>
      </c>
      <c r="I191" s="79">
        <v>0</v>
      </c>
      <c r="J191" s="235">
        <v>200</v>
      </c>
      <c r="K191" s="79">
        <v>8</v>
      </c>
    </row>
    <row r="192" spans="1:11" ht="15.75">
      <c r="A192" s="3">
        <v>8.4</v>
      </c>
      <c r="B192" s="71" t="s">
        <v>70</v>
      </c>
      <c r="C192" s="7" t="str">
        <f t="shared" si="9"/>
        <v>0912-7LEK-C8,4-G</v>
      </c>
      <c r="D192" s="78" t="s">
        <v>130</v>
      </c>
      <c r="E192" s="79">
        <v>60</v>
      </c>
      <c r="F192" s="79">
        <v>0</v>
      </c>
      <c r="G192" s="79">
        <v>0</v>
      </c>
      <c r="H192" s="79">
        <v>60</v>
      </c>
      <c r="I192" s="79">
        <v>0</v>
      </c>
      <c r="J192" s="235">
        <v>100</v>
      </c>
      <c r="K192" s="79">
        <v>4</v>
      </c>
    </row>
    <row r="193" spans="1:11" ht="15.75">
      <c r="A193" s="3">
        <v>8.5</v>
      </c>
      <c r="B193" s="71" t="s">
        <v>54</v>
      </c>
      <c r="C193" s="7" t="str">
        <f t="shared" si="9"/>
        <v>0912-7LEK-C8,5-P</v>
      </c>
      <c r="D193" s="78" t="s">
        <v>130</v>
      </c>
      <c r="E193" s="79">
        <v>60</v>
      </c>
      <c r="F193" s="79">
        <v>0</v>
      </c>
      <c r="G193" s="79">
        <v>0</v>
      </c>
      <c r="H193" s="79">
        <v>60</v>
      </c>
      <c r="I193" s="79">
        <v>0</v>
      </c>
      <c r="J193" s="235">
        <v>100</v>
      </c>
      <c r="K193" s="79">
        <v>4</v>
      </c>
    </row>
    <row r="194" spans="1:11" ht="15.75">
      <c r="A194" s="3">
        <v>8.6</v>
      </c>
      <c r="B194" s="71" t="s">
        <v>82</v>
      </c>
      <c r="C194" s="7" t="str">
        <f>"0912-7LEK-C"&amp;A194&amp;"-"&amp;UPPER(LEFT(B194,1))&amp;"R"</f>
        <v>0912-7LEK-C8,6-MR</v>
      </c>
      <c r="D194" s="78" t="s">
        <v>130</v>
      </c>
      <c r="E194" s="79">
        <v>60</v>
      </c>
      <c r="F194" s="79">
        <v>0</v>
      </c>
      <c r="G194" s="79">
        <v>0</v>
      </c>
      <c r="H194" s="79">
        <v>60</v>
      </c>
      <c r="I194" s="79">
        <v>0</v>
      </c>
      <c r="J194" s="235">
        <v>100</v>
      </c>
      <c r="K194" s="79">
        <v>4</v>
      </c>
    </row>
    <row r="195" spans="1:11" ht="15.75">
      <c r="A195" s="3">
        <v>8.6999999999999993</v>
      </c>
      <c r="B195" s="71" t="s">
        <v>56</v>
      </c>
      <c r="C195" s="7" t="str">
        <f t="shared" si="9"/>
        <v>0912-7LEK-C8,7-M</v>
      </c>
      <c r="D195" s="78" t="s">
        <v>130</v>
      </c>
      <c r="E195" s="79">
        <v>60</v>
      </c>
      <c r="F195" s="79">
        <v>0</v>
      </c>
      <c r="G195" s="79">
        <v>0</v>
      </c>
      <c r="H195" s="79">
        <v>60</v>
      </c>
      <c r="I195" s="79">
        <v>0</v>
      </c>
      <c r="J195" s="235">
        <v>100</v>
      </c>
      <c r="K195" s="79">
        <v>4</v>
      </c>
    </row>
    <row r="196" spans="1:11" ht="15.75">
      <c r="A196" s="3">
        <v>8.8000000000000007</v>
      </c>
      <c r="B196" s="71" t="s">
        <v>33</v>
      </c>
      <c r="C196" s="7" t="str">
        <f t="shared" si="9"/>
        <v>0912-7LEK-C8,8-S</v>
      </c>
      <c r="D196" s="78" t="s">
        <v>130</v>
      </c>
      <c r="E196" s="79">
        <v>180</v>
      </c>
      <c r="F196" s="79">
        <v>0</v>
      </c>
      <c r="G196" s="79">
        <v>0</v>
      </c>
      <c r="H196" s="79">
        <v>180</v>
      </c>
      <c r="I196" s="79">
        <v>0</v>
      </c>
      <c r="J196" s="235">
        <v>300</v>
      </c>
      <c r="K196" s="79">
        <v>12</v>
      </c>
    </row>
    <row r="197" spans="1:11">
      <c r="A197" s="753" t="s">
        <v>9</v>
      </c>
      <c r="B197" s="754"/>
      <c r="C197" s="754"/>
      <c r="D197" s="755"/>
      <c r="E197" s="90">
        <f>SUM(E189:E196)</f>
        <v>900</v>
      </c>
      <c r="F197" s="90">
        <f t="shared" ref="F197:K197" si="10">SUM(F189:F196)</f>
        <v>0</v>
      </c>
      <c r="G197" s="90">
        <f t="shared" si="10"/>
        <v>0</v>
      </c>
      <c r="H197" s="90">
        <f t="shared" si="10"/>
        <v>900</v>
      </c>
      <c r="I197" s="90">
        <f t="shared" si="10"/>
        <v>0</v>
      </c>
      <c r="J197" s="231">
        <f t="shared" si="10"/>
        <v>1500</v>
      </c>
      <c r="K197" s="90">
        <f t="shared" si="10"/>
        <v>60</v>
      </c>
    </row>
    <row r="198" spans="1:11">
      <c r="A198" s="746" t="s">
        <v>29</v>
      </c>
      <c r="B198" s="747"/>
      <c r="C198" s="747"/>
      <c r="D198" s="747"/>
      <c r="E198" s="747"/>
      <c r="F198" s="747"/>
      <c r="G198" s="747"/>
      <c r="H198" s="747"/>
      <c r="I198" s="747"/>
      <c r="J198" s="747"/>
      <c r="K198" s="748"/>
    </row>
    <row r="199" spans="1:11" ht="15.75">
      <c r="A199" s="171">
        <v>9.1</v>
      </c>
      <c r="B199" s="94" t="s">
        <v>83</v>
      </c>
      <c r="C199" s="64" t="str">
        <f t="shared" ref="C199:C206" si="11">"0912-7LEK-C"&amp;A199&amp;"-"&amp;UPPER(LEFT(B199,1))</f>
        <v>0912-7LEK-C9,1-O</v>
      </c>
      <c r="D199" s="92" t="s">
        <v>233</v>
      </c>
      <c r="E199" s="93">
        <v>120</v>
      </c>
      <c r="F199" s="93">
        <v>0</v>
      </c>
      <c r="G199" s="93">
        <v>0</v>
      </c>
      <c r="H199" s="99">
        <v>120</v>
      </c>
      <c r="I199" s="93">
        <v>0</v>
      </c>
      <c r="J199" s="234">
        <v>120</v>
      </c>
      <c r="K199" s="93">
        <v>4</v>
      </c>
    </row>
    <row r="200" spans="1:11" ht="15.75">
      <c r="A200" s="3">
        <v>9.1999999999999993</v>
      </c>
      <c r="B200" s="71" t="s">
        <v>84</v>
      </c>
      <c r="C200" s="7" t="str">
        <f t="shared" si="11"/>
        <v>0912-7LEK-C9,2-L</v>
      </c>
      <c r="D200" s="78" t="s">
        <v>139</v>
      </c>
      <c r="E200" s="79">
        <v>90</v>
      </c>
      <c r="F200" s="79">
        <v>0</v>
      </c>
      <c r="G200" s="79">
        <v>0</v>
      </c>
      <c r="H200" s="85">
        <v>90</v>
      </c>
      <c r="I200" s="79">
        <v>0</v>
      </c>
      <c r="J200" s="235">
        <v>90</v>
      </c>
      <c r="K200" s="79">
        <v>3</v>
      </c>
    </row>
    <row r="201" spans="1:11" ht="15.75">
      <c r="A201" s="3">
        <v>9.3000000000000007</v>
      </c>
      <c r="B201" s="71" t="s">
        <v>85</v>
      </c>
      <c r="C201" s="7" t="str">
        <f t="shared" si="11"/>
        <v>0912-7LEK-C9,3-P</v>
      </c>
      <c r="D201" s="78" t="s">
        <v>139</v>
      </c>
      <c r="E201" s="79">
        <v>30</v>
      </c>
      <c r="F201" s="79">
        <v>0</v>
      </c>
      <c r="G201" s="79">
        <v>0</v>
      </c>
      <c r="H201" s="85">
        <v>30</v>
      </c>
      <c r="I201" s="79">
        <v>0</v>
      </c>
      <c r="J201" s="235">
        <v>30</v>
      </c>
      <c r="K201" s="79">
        <v>1</v>
      </c>
    </row>
    <row r="202" spans="1:11" ht="15.75">
      <c r="A202" s="3">
        <v>9.4</v>
      </c>
      <c r="B202" s="71" t="s">
        <v>80</v>
      </c>
      <c r="C202" s="7" t="str">
        <f t="shared" si="11"/>
        <v>0912-7LEK-C9,4-C</v>
      </c>
      <c r="D202" s="78" t="s">
        <v>142</v>
      </c>
      <c r="E202" s="79">
        <v>120</v>
      </c>
      <c r="F202" s="79">
        <v>0</v>
      </c>
      <c r="G202" s="79">
        <v>0</v>
      </c>
      <c r="H202" s="85">
        <v>120</v>
      </c>
      <c r="I202" s="79">
        <v>0</v>
      </c>
      <c r="J202" s="235">
        <v>120</v>
      </c>
      <c r="K202" s="79">
        <v>4</v>
      </c>
    </row>
    <row r="203" spans="1:11" ht="15.75">
      <c r="A203" s="3">
        <v>9.5</v>
      </c>
      <c r="B203" s="71" t="s">
        <v>86</v>
      </c>
      <c r="C203" s="7" t="str">
        <f t="shared" si="11"/>
        <v>0912-7LEK-C9,5-I</v>
      </c>
      <c r="D203" s="78" t="s">
        <v>140</v>
      </c>
      <c r="E203" s="79">
        <v>60</v>
      </c>
      <c r="F203" s="79">
        <v>0</v>
      </c>
      <c r="G203" s="79">
        <v>0</v>
      </c>
      <c r="H203" s="85">
        <v>60</v>
      </c>
      <c r="I203" s="79">
        <v>0</v>
      </c>
      <c r="J203" s="235">
        <v>60</v>
      </c>
      <c r="K203" s="79">
        <v>2</v>
      </c>
    </row>
    <row r="204" spans="1:11" ht="15.75">
      <c r="A204" s="3">
        <v>9.6</v>
      </c>
      <c r="B204" s="71" t="s">
        <v>51</v>
      </c>
      <c r="C204" s="7" t="str">
        <f t="shared" si="11"/>
        <v>0912-7LEK-C9,6-P</v>
      </c>
      <c r="D204" s="78" t="s">
        <v>140</v>
      </c>
      <c r="E204" s="79">
        <v>60</v>
      </c>
      <c r="F204" s="79">
        <v>0</v>
      </c>
      <c r="G204" s="79">
        <v>0</v>
      </c>
      <c r="H204" s="85">
        <v>60</v>
      </c>
      <c r="I204" s="79">
        <v>0</v>
      </c>
      <c r="J204" s="235">
        <v>60</v>
      </c>
      <c r="K204" s="79">
        <v>2</v>
      </c>
    </row>
    <row r="205" spans="1:11" ht="15.75">
      <c r="A205" s="3">
        <v>9.6999999999999993</v>
      </c>
      <c r="B205" s="71" t="s">
        <v>81</v>
      </c>
      <c r="C205" s="7" t="str">
        <f t="shared" si="11"/>
        <v>0912-7LEK-C9,7-C</v>
      </c>
      <c r="D205" s="78" t="s">
        <v>128</v>
      </c>
      <c r="E205" s="79">
        <v>60</v>
      </c>
      <c r="F205" s="79">
        <v>0</v>
      </c>
      <c r="G205" s="79">
        <v>0</v>
      </c>
      <c r="H205" s="85">
        <v>60</v>
      </c>
      <c r="I205" s="79">
        <v>0</v>
      </c>
      <c r="J205" s="235">
        <v>60</v>
      </c>
      <c r="K205" s="79">
        <v>2</v>
      </c>
    </row>
    <row r="206" spans="1:11" ht="15.75">
      <c r="A206" s="3">
        <v>9.8000000000000007</v>
      </c>
      <c r="B206" s="71" t="s">
        <v>70</v>
      </c>
      <c r="C206" s="7" t="str">
        <f t="shared" si="11"/>
        <v>0912-7LEK-C9,8-G</v>
      </c>
      <c r="D206" s="78" t="s">
        <v>128</v>
      </c>
      <c r="E206" s="79">
        <v>60</v>
      </c>
      <c r="F206" s="79">
        <v>0</v>
      </c>
      <c r="G206" s="79">
        <v>0</v>
      </c>
      <c r="H206" s="85">
        <v>60</v>
      </c>
      <c r="I206" s="79">
        <v>0</v>
      </c>
      <c r="J206" s="235">
        <v>60</v>
      </c>
      <c r="K206" s="79">
        <v>2</v>
      </c>
    </row>
    <row r="207" spans="1:11">
      <c r="A207" s="759" t="s">
        <v>9</v>
      </c>
      <c r="B207" s="759"/>
      <c r="C207" s="130"/>
      <c r="D207" s="80"/>
      <c r="E207" s="83">
        <f>SUM(E199:E206)</f>
        <v>600</v>
      </c>
      <c r="F207" s="83">
        <f t="shared" ref="F207:K207" si="12">SUM(F199:F206)</f>
        <v>0</v>
      </c>
      <c r="G207" s="83">
        <f t="shared" si="12"/>
        <v>0</v>
      </c>
      <c r="H207" s="83">
        <f t="shared" si="12"/>
        <v>600</v>
      </c>
      <c r="I207" s="83">
        <f t="shared" si="12"/>
        <v>0</v>
      </c>
      <c r="J207" s="235">
        <f t="shared" si="12"/>
        <v>600</v>
      </c>
      <c r="K207" s="83">
        <f t="shared" si="12"/>
        <v>20</v>
      </c>
    </row>
    <row r="208" spans="1:11">
      <c r="A208" s="746" t="s">
        <v>31</v>
      </c>
      <c r="B208" s="747"/>
      <c r="C208" s="747"/>
      <c r="D208" s="747"/>
      <c r="E208" s="747"/>
      <c r="F208" s="747"/>
      <c r="G208" s="747"/>
      <c r="H208" s="747"/>
      <c r="I208" s="747"/>
      <c r="J208" s="747"/>
      <c r="K208" s="748"/>
    </row>
    <row r="209" spans="1:17" ht="15.75">
      <c r="A209" s="3">
        <v>10.1</v>
      </c>
      <c r="B209" s="71" t="s">
        <v>17</v>
      </c>
      <c r="C209" s="7" t="str">
        <f>"0912-7LEK-A"&amp;A209&amp;"-"&amp;UPPER(LEFT(B209,1))&amp;"A"</f>
        <v>0912-7LEK-A10,1-JA</v>
      </c>
      <c r="D209" s="78" t="s">
        <v>230</v>
      </c>
      <c r="E209" s="79">
        <v>120</v>
      </c>
      <c r="F209" s="79">
        <v>0</v>
      </c>
      <c r="G209" s="79">
        <v>120</v>
      </c>
      <c r="H209" s="79">
        <v>0</v>
      </c>
      <c r="I209" s="79">
        <v>0</v>
      </c>
      <c r="J209" s="235">
        <v>180</v>
      </c>
      <c r="K209" s="79">
        <v>6</v>
      </c>
    </row>
    <row r="210" spans="1:17" ht="15.75">
      <c r="A210" s="3">
        <v>10.199999999999999</v>
      </c>
      <c r="B210" s="71" t="s">
        <v>198</v>
      </c>
      <c r="C210" s="7" t="str">
        <f>"0912-7LEK-A"&amp;A210&amp;"-"&amp;UPPER(LEFT(B210,1))&amp;"O"</f>
        <v>0912-7LEK-A10,2-JO</v>
      </c>
      <c r="D210" s="78" t="s">
        <v>231</v>
      </c>
      <c r="E210" s="79">
        <v>50</v>
      </c>
      <c r="F210" s="79">
        <v>0</v>
      </c>
      <c r="G210" s="79">
        <v>50</v>
      </c>
      <c r="H210" s="79">
        <v>0</v>
      </c>
      <c r="I210" s="79">
        <v>0</v>
      </c>
      <c r="J210" s="235">
        <v>60</v>
      </c>
      <c r="K210" s="79">
        <v>2</v>
      </c>
    </row>
    <row r="211" spans="1:17" ht="15.75">
      <c r="A211" s="3">
        <v>10.3</v>
      </c>
      <c r="B211" s="71" t="s">
        <v>19</v>
      </c>
      <c r="C211" s="7" t="str">
        <f>"0912-7LEK-A"&amp;A211&amp;"-"&amp;UPPER(LEFT(B211,1))&amp;"Ł"</f>
        <v>0912-7LEK-A10,3-JŁ</v>
      </c>
      <c r="D211" s="78" t="s">
        <v>232</v>
      </c>
      <c r="E211" s="79">
        <v>30</v>
      </c>
      <c r="F211" s="79">
        <v>0</v>
      </c>
      <c r="G211" s="79">
        <v>30</v>
      </c>
      <c r="H211" s="79">
        <v>0</v>
      </c>
      <c r="I211" s="79">
        <v>0</v>
      </c>
      <c r="J211" s="235">
        <v>30</v>
      </c>
      <c r="K211" s="79">
        <v>1</v>
      </c>
    </row>
    <row r="212" spans="1:17" ht="18.75" customHeight="1">
      <c r="A212" s="3">
        <v>10.4</v>
      </c>
      <c r="B212" s="71" t="s">
        <v>87</v>
      </c>
      <c r="C212" s="7" t="str">
        <f>"0912-7LEK-A"&amp;A212&amp;"-"&amp;UPPER(LEFT(B212,1))&amp;"B"</f>
        <v>0912-7LEK-A10,4-PB</v>
      </c>
      <c r="D212" s="78" t="s">
        <v>232</v>
      </c>
      <c r="E212" s="79">
        <v>2</v>
      </c>
      <c r="F212" s="79">
        <v>0</v>
      </c>
      <c r="G212" s="79">
        <v>2</v>
      </c>
      <c r="H212" s="79">
        <v>0</v>
      </c>
      <c r="I212" s="79">
        <v>0</v>
      </c>
      <c r="J212" s="235">
        <v>2</v>
      </c>
      <c r="K212" s="79">
        <v>0</v>
      </c>
    </row>
    <row r="213" spans="1:17" ht="15.75" customHeight="1">
      <c r="A213" s="3">
        <v>10.5</v>
      </c>
      <c r="B213" s="71" t="s">
        <v>30</v>
      </c>
      <c r="C213" s="7" t="str">
        <f>"0912-7LEK-A"&amp;A213&amp;"-"&amp;UPPER(LEFT(B213,1))&amp;"HP"</f>
        <v>0912-7LEK-A10,5-BHP</v>
      </c>
      <c r="D213" s="78" t="s">
        <v>233</v>
      </c>
      <c r="E213" s="79">
        <v>5</v>
      </c>
      <c r="F213" s="79">
        <v>5</v>
      </c>
      <c r="G213" s="79">
        <v>0</v>
      </c>
      <c r="H213" s="79">
        <v>0</v>
      </c>
      <c r="I213" s="79">
        <v>0</v>
      </c>
      <c r="J213" s="235">
        <v>5</v>
      </c>
      <c r="K213" s="79">
        <v>0</v>
      </c>
    </row>
    <row r="214" spans="1:17" ht="18.75" customHeight="1">
      <c r="A214" s="3">
        <v>10.6</v>
      </c>
      <c r="B214" s="71" t="s">
        <v>108</v>
      </c>
      <c r="C214" s="7" t="str">
        <f>"0912-7LEK-A"&amp;A214&amp;"-"&amp;UPPER(LEFT(B214,1))&amp;"F"</f>
        <v>0912-7LEK-A10,6-WF</v>
      </c>
      <c r="D214" s="78" t="s">
        <v>120</v>
      </c>
      <c r="E214" s="79">
        <v>180</v>
      </c>
      <c r="F214" s="79">
        <v>0</v>
      </c>
      <c r="G214" s="79">
        <v>180</v>
      </c>
      <c r="H214" s="79">
        <v>0</v>
      </c>
      <c r="I214" s="79">
        <v>0</v>
      </c>
      <c r="J214" s="235">
        <v>180</v>
      </c>
      <c r="K214" s="79">
        <v>0</v>
      </c>
    </row>
    <row r="215" spans="1:17">
      <c r="A215" s="766">
        <v>10.7</v>
      </c>
      <c r="B215" s="760" t="s">
        <v>119</v>
      </c>
      <c r="C215" s="761"/>
      <c r="D215" s="78" t="s">
        <v>234</v>
      </c>
      <c r="E215" s="79">
        <v>30</v>
      </c>
      <c r="F215" s="79">
        <v>0</v>
      </c>
      <c r="G215" s="79">
        <v>30</v>
      </c>
      <c r="H215" s="79">
        <v>0</v>
      </c>
      <c r="I215" s="79">
        <v>0</v>
      </c>
      <c r="J215" s="235">
        <v>60</v>
      </c>
      <c r="K215" s="79">
        <v>2</v>
      </c>
    </row>
    <row r="216" spans="1:17">
      <c r="A216" s="767"/>
      <c r="B216" s="762"/>
      <c r="C216" s="763"/>
      <c r="D216" s="78" t="s">
        <v>139</v>
      </c>
      <c r="E216" s="79">
        <v>30</v>
      </c>
      <c r="F216" s="79">
        <v>0</v>
      </c>
      <c r="G216" s="79">
        <v>30</v>
      </c>
      <c r="H216" s="79">
        <v>0</v>
      </c>
      <c r="I216" s="79">
        <v>0</v>
      </c>
      <c r="J216" s="235">
        <v>60</v>
      </c>
      <c r="K216" s="79">
        <v>2</v>
      </c>
    </row>
    <row r="217" spans="1:17">
      <c r="A217" s="759" t="s">
        <v>9</v>
      </c>
      <c r="B217" s="759"/>
      <c r="C217" s="130"/>
      <c r="D217" s="80"/>
      <c r="E217" s="83">
        <f t="shared" ref="E217:J217" si="13">SUM(E209:E214)</f>
        <v>387</v>
      </c>
      <c r="F217" s="83">
        <f t="shared" si="13"/>
        <v>5</v>
      </c>
      <c r="G217" s="83">
        <f t="shared" si="13"/>
        <v>382</v>
      </c>
      <c r="H217" s="83">
        <f t="shared" si="13"/>
        <v>0</v>
      </c>
      <c r="I217" s="83">
        <f t="shared" si="13"/>
        <v>0</v>
      </c>
      <c r="J217" s="235">
        <f t="shared" si="13"/>
        <v>457</v>
      </c>
      <c r="K217" s="83">
        <f>SUM(K209:K216)</f>
        <v>13</v>
      </c>
    </row>
    <row r="218" spans="1:17">
      <c r="A218" s="746" t="s">
        <v>229</v>
      </c>
      <c r="B218" s="747"/>
      <c r="C218" s="747"/>
      <c r="D218" s="747"/>
      <c r="E218" s="747"/>
      <c r="F218" s="747"/>
      <c r="G218" s="747"/>
      <c r="H218" s="747"/>
      <c r="I218" s="747"/>
      <c r="J218" s="747"/>
      <c r="K218" s="748"/>
    </row>
    <row r="219" spans="1:17" ht="15.75">
      <c r="A219" s="120">
        <v>1</v>
      </c>
      <c r="B219" s="77" t="s">
        <v>115</v>
      </c>
      <c r="C219" s="7"/>
      <c r="D219" s="78" t="s">
        <v>232</v>
      </c>
      <c r="E219" s="79">
        <v>15</v>
      </c>
      <c r="F219" s="79">
        <v>15</v>
      </c>
      <c r="G219" s="79">
        <v>0</v>
      </c>
      <c r="H219" s="79">
        <v>0</v>
      </c>
      <c r="I219" s="79">
        <v>0</v>
      </c>
      <c r="J219" s="235">
        <v>25</v>
      </c>
      <c r="K219" s="79">
        <v>1</v>
      </c>
      <c r="N219" s="811" t="s">
        <v>292</v>
      </c>
      <c r="O219" s="811"/>
      <c r="P219" s="811"/>
      <c r="Q219" s="811"/>
    </row>
    <row r="220" spans="1:17" ht="15.75">
      <c r="A220" s="120">
        <v>2</v>
      </c>
      <c r="B220" s="77" t="s">
        <v>115</v>
      </c>
      <c r="C220" s="7"/>
      <c r="D220" s="78" t="s">
        <v>232</v>
      </c>
      <c r="E220" s="79">
        <v>15</v>
      </c>
      <c r="F220" s="79">
        <v>15</v>
      </c>
      <c r="G220" s="79">
        <v>0</v>
      </c>
      <c r="H220" s="79">
        <v>0</v>
      </c>
      <c r="I220" s="79">
        <v>0</v>
      </c>
      <c r="J220" s="235">
        <v>25</v>
      </c>
      <c r="K220" s="79">
        <v>1</v>
      </c>
    </row>
    <row r="221" spans="1:17" ht="15.75">
      <c r="A221" s="120">
        <v>3</v>
      </c>
      <c r="B221" s="77" t="s">
        <v>115</v>
      </c>
      <c r="C221" s="7"/>
      <c r="D221" s="78" t="s">
        <v>233</v>
      </c>
      <c r="E221" s="79">
        <v>15</v>
      </c>
      <c r="F221" s="79">
        <v>15</v>
      </c>
      <c r="G221" s="79">
        <v>0</v>
      </c>
      <c r="H221" s="79">
        <v>0</v>
      </c>
      <c r="I221" s="79">
        <v>0</v>
      </c>
      <c r="J221" s="235">
        <v>25</v>
      </c>
      <c r="K221" s="79">
        <v>1</v>
      </c>
      <c r="N221" s="810" t="s">
        <v>289</v>
      </c>
      <c r="O221" s="810"/>
      <c r="P221" s="810"/>
      <c r="Q221" s="810"/>
    </row>
    <row r="222" spans="1:17" ht="15.75">
      <c r="A222" s="120">
        <v>4</v>
      </c>
      <c r="B222" s="77" t="s">
        <v>115</v>
      </c>
      <c r="C222" s="7"/>
      <c r="D222" s="78" t="s">
        <v>233</v>
      </c>
      <c r="E222" s="79">
        <v>15</v>
      </c>
      <c r="F222" s="79">
        <v>15</v>
      </c>
      <c r="G222" s="79">
        <v>0</v>
      </c>
      <c r="H222" s="79">
        <v>0</v>
      </c>
      <c r="I222" s="79">
        <v>0</v>
      </c>
      <c r="J222" s="235">
        <v>25</v>
      </c>
      <c r="K222" s="79">
        <v>1</v>
      </c>
    </row>
    <row r="223" spans="1:17" ht="15.75">
      <c r="A223" s="120">
        <v>5</v>
      </c>
      <c r="B223" s="77" t="s">
        <v>115</v>
      </c>
      <c r="C223" s="7"/>
      <c r="D223" s="78" t="s">
        <v>234</v>
      </c>
      <c r="E223" s="79">
        <v>15</v>
      </c>
      <c r="F223" s="79">
        <v>15</v>
      </c>
      <c r="G223" s="79">
        <v>0</v>
      </c>
      <c r="H223" s="79">
        <v>0</v>
      </c>
      <c r="I223" s="79">
        <v>0</v>
      </c>
      <c r="J223" s="235">
        <v>25</v>
      </c>
      <c r="K223" s="79">
        <v>1</v>
      </c>
      <c r="N223" s="131" t="s">
        <v>291</v>
      </c>
      <c r="O223" s="131"/>
      <c r="P223" s="131"/>
      <c r="Q223" s="131"/>
    </row>
    <row r="224" spans="1:17" ht="78.75" customHeight="1">
      <c r="A224" s="120">
        <v>6</v>
      </c>
      <c r="B224" s="77" t="s">
        <v>115</v>
      </c>
      <c r="C224" s="7"/>
      <c r="D224" s="78" t="s">
        <v>234</v>
      </c>
      <c r="E224" s="79">
        <v>15</v>
      </c>
      <c r="F224" s="79">
        <v>15</v>
      </c>
      <c r="G224" s="79">
        <v>0</v>
      </c>
      <c r="H224" s="79">
        <v>0</v>
      </c>
      <c r="I224" s="79">
        <v>0</v>
      </c>
      <c r="J224" s="235">
        <v>25</v>
      </c>
      <c r="K224" s="79">
        <v>1</v>
      </c>
    </row>
    <row r="225" spans="1:15" ht="63" customHeight="1">
      <c r="A225" s="120">
        <v>7</v>
      </c>
      <c r="B225" s="77" t="s">
        <v>115</v>
      </c>
      <c r="C225" s="7"/>
      <c r="D225" s="78" t="s">
        <v>234</v>
      </c>
      <c r="E225" s="79">
        <v>15</v>
      </c>
      <c r="F225" s="79">
        <v>15</v>
      </c>
      <c r="G225" s="79">
        <v>0</v>
      </c>
      <c r="H225" s="79">
        <v>0</v>
      </c>
      <c r="I225" s="79">
        <v>0</v>
      </c>
      <c r="J225" s="235">
        <v>25</v>
      </c>
      <c r="K225" s="79">
        <v>1</v>
      </c>
    </row>
    <row r="226" spans="1:15" ht="15.75">
      <c r="A226" s="120">
        <v>8</v>
      </c>
      <c r="B226" s="77" t="s">
        <v>115</v>
      </c>
      <c r="C226" s="7"/>
      <c r="D226" s="78" t="s">
        <v>139</v>
      </c>
      <c r="E226" s="79">
        <v>15</v>
      </c>
      <c r="F226" s="79">
        <v>15</v>
      </c>
      <c r="G226" s="79">
        <v>0</v>
      </c>
      <c r="H226" s="79">
        <v>0</v>
      </c>
      <c r="I226" s="79">
        <v>0</v>
      </c>
      <c r="J226" s="235">
        <v>25</v>
      </c>
      <c r="K226" s="79">
        <v>1</v>
      </c>
      <c r="N226" s="197" t="s">
        <v>179</v>
      </c>
    </row>
    <row r="227" spans="1:15" ht="15.75">
      <c r="A227" s="120">
        <v>9</v>
      </c>
      <c r="B227" s="77" t="s">
        <v>115</v>
      </c>
      <c r="C227" s="7"/>
      <c r="D227" s="78" t="s">
        <v>139</v>
      </c>
      <c r="E227" s="79">
        <v>15</v>
      </c>
      <c r="F227" s="79">
        <v>15</v>
      </c>
      <c r="G227" s="79">
        <v>0</v>
      </c>
      <c r="H227" s="79">
        <v>0</v>
      </c>
      <c r="I227" s="79">
        <v>0</v>
      </c>
      <c r="J227" s="235">
        <v>25</v>
      </c>
      <c r="K227" s="79">
        <v>1</v>
      </c>
      <c r="N227" s="82" t="s">
        <v>293</v>
      </c>
    </row>
    <row r="228" spans="1:15" ht="15.75">
      <c r="A228" s="120">
        <v>10</v>
      </c>
      <c r="B228" s="77" t="s">
        <v>115</v>
      </c>
      <c r="C228" s="7"/>
      <c r="D228" s="78" t="s">
        <v>139</v>
      </c>
      <c r="E228" s="79">
        <v>15</v>
      </c>
      <c r="F228" s="79">
        <v>15</v>
      </c>
      <c r="G228" s="79">
        <v>0</v>
      </c>
      <c r="H228" s="79">
        <v>0</v>
      </c>
      <c r="I228" s="79">
        <v>0</v>
      </c>
      <c r="J228" s="235">
        <v>25</v>
      </c>
      <c r="K228" s="79">
        <v>1</v>
      </c>
    </row>
    <row r="229" spans="1:15" ht="15.75">
      <c r="A229" s="120">
        <v>11</v>
      </c>
      <c r="B229" s="77" t="s">
        <v>115</v>
      </c>
      <c r="C229" s="7"/>
      <c r="D229" s="78" t="s">
        <v>141</v>
      </c>
      <c r="E229" s="79">
        <v>15</v>
      </c>
      <c r="F229" s="79">
        <v>15</v>
      </c>
      <c r="G229" s="79">
        <v>0</v>
      </c>
      <c r="H229" s="79">
        <v>0</v>
      </c>
      <c r="I229" s="79">
        <v>0</v>
      </c>
      <c r="J229" s="235">
        <v>25</v>
      </c>
      <c r="K229" s="79">
        <v>1</v>
      </c>
      <c r="M229" s="95"/>
      <c r="N229" s="271"/>
      <c r="O229" s="95"/>
    </row>
    <row r="230" spans="1:15" ht="15.75">
      <c r="A230" s="120">
        <v>12</v>
      </c>
      <c r="B230" s="77" t="s">
        <v>115</v>
      </c>
      <c r="C230" s="7"/>
      <c r="D230" s="78" t="s">
        <v>141</v>
      </c>
      <c r="E230" s="79">
        <v>15</v>
      </c>
      <c r="F230" s="79">
        <v>15</v>
      </c>
      <c r="G230" s="79">
        <v>0</v>
      </c>
      <c r="H230" s="79">
        <v>0</v>
      </c>
      <c r="I230" s="79">
        <v>0</v>
      </c>
      <c r="J230" s="235">
        <v>25</v>
      </c>
      <c r="K230" s="79">
        <v>1</v>
      </c>
      <c r="N230" s="82" t="s">
        <v>169</v>
      </c>
    </row>
    <row r="231" spans="1:15" ht="15.75">
      <c r="A231" s="120">
        <v>13</v>
      </c>
      <c r="B231" s="77" t="s">
        <v>115</v>
      </c>
      <c r="C231" s="7"/>
      <c r="D231" s="78" t="s">
        <v>141</v>
      </c>
      <c r="E231" s="79">
        <v>15</v>
      </c>
      <c r="F231" s="79">
        <v>15</v>
      </c>
      <c r="G231" s="79">
        <v>0</v>
      </c>
      <c r="H231" s="79">
        <v>0</v>
      </c>
      <c r="I231" s="79">
        <v>0</v>
      </c>
      <c r="J231" s="235">
        <v>25</v>
      </c>
      <c r="K231" s="79">
        <v>1</v>
      </c>
    </row>
    <row r="232" spans="1:15" ht="15.75">
      <c r="A232" s="120">
        <v>14</v>
      </c>
      <c r="B232" s="77" t="s">
        <v>115</v>
      </c>
      <c r="C232" s="7"/>
      <c r="D232" s="78" t="s">
        <v>142</v>
      </c>
      <c r="E232" s="79">
        <v>15</v>
      </c>
      <c r="F232" s="79">
        <v>15</v>
      </c>
      <c r="G232" s="79">
        <v>0</v>
      </c>
      <c r="H232" s="79">
        <v>0</v>
      </c>
      <c r="I232" s="79">
        <v>0</v>
      </c>
      <c r="J232" s="235">
        <v>25</v>
      </c>
      <c r="K232" s="79">
        <v>1</v>
      </c>
    </row>
    <row r="233" spans="1:15" ht="15.75">
      <c r="A233" s="120">
        <v>15</v>
      </c>
      <c r="B233" s="77" t="s">
        <v>115</v>
      </c>
      <c r="C233" s="7"/>
      <c r="D233" s="78" t="s">
        <v>142</v>
      </c>
      <c r="E233" s="79">
        <v>15</v>
      </c>
      <c r="F233" s="79">
        <v>15</v>
      </c>
      <c r="G233" s="79">
        <v>0</v>
      </c>
      <c r="H233" s="79">
        <v>0</v>
      </c>
      <c r="I233" s="79">
        <v>0</v>
      </c>
      <c r="J233" s="235">
        <v>25</v>
      </c>
      <c r="K233" s="79">
        <v>1</v>
      </c>
    </row>
    <row r="234" spans="1:15" ht="15.75">
      <c r="A234" s="120">
        <v>16</v>
      </c>
      <c r="B234" s="77" t="s">
        <v>115</v>
      </c>
      <c r="C234" s="7"/>
      <c r="D234" s="78" t="s">
        <v>143</v>
      </c>
      <c r="E234" s="79">
        <v>15</v>
      </c>
      <c r="F234" s="79">
        <v>15</v>
      </c>
      <c r="G234" s="79">
        <v>0</v>
      </c>
      <c r="H234" s="79">
        <v>0</v>
      </c>
      <c r="I234" s="79">
        <v>0</v>
      </c>
      <c r="J234" s="235">
        <v>25</v>
      </c>
      <c r="K234" s="79">
        <v>1</v>
      </c>
    </row>
    <row r="235" spans="1:15" ht="15.75">
      <c r="A235" s="120">
        <v>17</v>
      </c>
      <c r="B235" s="77" t="s">
        <v>115</v>
      </c>
      <c r="C235" s="7"/>
      <c r="D235" s="78" t="s">
        <v>143</v>
      </c>
      <c r="E235" s="79">
        <v>15</v>
      </c>
      <c r="F235" s="79">
        <v>15</v>
      </c>
      <c r="G235" s="79">
        <v>0</v>
      </c>
      <c r="H235" s="79">
        <v>0</v>
      </c>
      <c r="I235" s="79">
        <v>0</v>
      </c>
      <c r="J235" s="235">
        <v>25</v>
      </c>
      <c r="K235" s="79">
        <v>1</v>
      </c>
    </row>
    <row r="236" spans="1:15" ht="15.75">
      <c r="A236" s="120">
        <v>18</v>
      </c>
      <c r="B236" s="77" t="s">
        <v>115</v>
      </c>
      <c r="C236" s="7"/>
      <c r="D236" s="78" t="s">
        <v>140</v>
      </c>
      <c r="E236" s="79">
        <v>15</v>
      </c>
      <c r="F236" s="79">
        <v>15</v>
      </c>
      <c r="G236" s="79">
        <v>0</v>
      </c>
      <c r="H236" s="79">
        <v>0</v>
      </c>
      <c r="I236" s="79">
        <v>0</v>
      </c>
      <c r="J236" s="235">
        <v>25</v>
      </c>
      <c r="K236" s="79">
        <v>1</v>
      </c>
    </row>
    <row r="237" spans="1:15" ht="15.75">
      <c r="A237" s="120">
        <v>19</v>
      </c>
      <c r="B237" s="77" t="s">
        <v>115</v>
      </c>
      <c r="C237" s="7"/>
      <c r="D237" s="78" t="s">
        <v>140</v>
      </c>
      <c r="E237" s="79">
        <v>15</v>
      </c>
      <c r="F237" s="79">
        <v>15</v>
      </c>
      <c r="G237" s="79">
        <v>0</v>
      </c>
      <c r="H237" s="79">
        <v>0</v>
      </c>
      <c r="I237" s="79">
        <v>0</v>
      </c>
      <c r="J237" s="235">
        <v>25</v>
      </c>
      <c r="K237" s="79">
        <v>1</v>
      </c>
    </row>
    <row r="238" spans="1:15" ht="15.75">
      <c r="A238" s="120">
        <v>20</v>
      </c>
      <c r="B238" s="77" t="s">
        <v>115</v>
      </c>
      <c r="C238" s="7"/>
      <c r="D238" s="78" t="s">
        <v>140</v>
      </c>
      <c r="E238" s="79">
        <v>15</v>
      </c>
      <c r="F238" s="79">
        <v>15</v>
      </c>
      <c r="G238" s="79">
        <v>0</v>
      </c>
      <c r="H238" s="79">
        <v>0</v>
      </c>
      <c r="I238" s="79">
        <v>0</v>
      </c>
      <c r="J238" s="235">
        <v>25</v>
      </c>
      <c r="K238" s="79">
        <v>1</v>
      </c>
    </row>
    <row r="239" spans="1:15" ht="15.75">
      <c r="A239" s="120">
        <v>21</v>
      </c>
      <c r="B239" s="77" t="s">
        <v>115</v>
      </c>
      <c r="C239" s="7"/>
      <c r="D239" s="78" t="s">
        <v>140</v>
      </c>
      <c r="E239" s="79">
        <v>15</v>
      </c>
      <c r="F239" s="79">
        <v>15</v>
      </c>
      <c r="G239" s="79">
        <v>0</v>
      </c>
      <c r="H239" s="79">
        <v>0</v>
      </c>
      <c r="I239" s="79">
        <v>0</v>
      </c>
      <c r="J239" s="235">
        <v>25</v>
      </c>
      <c r="K239" s="79">
        <v>1</v>
      </c>
    </row>
    <row r="240" spans="1:15" ht="15.75">
      <c r="A240" s="120">
        <v>22</v>
      </c>
      <c r="B240" s="77" t="s">
        <v>115</v>
      </c>
      <c r="C240" s="7"/>
      <c r="D240" s="78" t="s">
        <v>125</v>
      </c>
      <c r="E240" s="79">
        <v>35</v>
      </c>
      <c r="F240" s="79">
        <v>15</v>
      </c>
      <c r="G240" s="79">
        <v>20</v>
      </c>
      <c r="H240" s="79">
        <v>0</v>
      </c>
      <c r="I240" s="79">
        <v>0</v>
      </c>
      <c r="J240" s="235">
        <v>50</v>
      </c>
      <c r="K240" s="79">
        <v>2</v>
      </c>
    </row>
    <row r="241" spans="1:12" ht="15.75">
      <c r="A241" s="120">
        <v>23</v>
      </c>
      <c r="B241" s="77" t="s">
        <v>115</v>
      </c>
      <c r="C241" s="7"/>
      <c r="D241" s="78" t="s">
        <v>125</v>
      </c>
      <c r="E241" s="79">
        <v>35</v>
      </c>
      <c r="F241" s="79">
        <v>15</v>
      </c>
      <c r="G241" s="79">
        <v>20</v>
      </c>
      <c r="H241" s="79">
        <v>0</v>
      </c>
      <c r="I241" s="79">
        <v>0</v>
      </c>
      <c r="J241" s="235">
        <v>50</v>
      </c>
      <c r="K241" s="79">
        <v>2</v>
      </c>
    </row>
    <row r="242" spans="1:12" ht="15.75">
      <c r="A242" s="120">
        <v>24</v>
      </c>
      <c r="B242" s="77" t="s">
        <v>115</v>
      </c>
      <c r="C242" s="7"/>
      <c r="D242" s="78" t="s">
        <v>125</v>
      </c>
      <c r="E242" s="79">
        <v>35</v>
      </c>
      <c r="F242" s="79">
        <v>15</v>
      </c>
      <c r="G242" s="79">
        <v>20</v>
      </c>
      <c r="H242" s="79">
        <v>0</v>
      </c>
      <c r="I242" s="79">
        <v>0</v>
      </c>
      <c r="J242" s="235">
        <v>50</v>
      </c>
      <c r="K242" s="79">
        <v>2</v>
      </c>
    </row>
    <row r="243" spans="1:12" ht="15.75">
      <c r="A243" s="120">
        <v>25</v>
      </c>
      <c r="B243" s="77" t="s">
        <v>115</v>
      </c>
      <c r="C243" s="7"/>
      <c r="D243" s="78" t="s">
        <v>125</v>
      </c>
      <c r="E243" s="79">
        <v>35</v>
      </c>
      <c r="F243" s="79">
        <v>15</v>
      </c>
      <c r="G243" s="79">
        <v>20</v>
      </c>
      <c r="H243" s="79">
        <v>0</v>
      </c>
      <c r="I243" s="79">
        <v>0</v>
      </c>
      <c r="J243" s="235">
        <v>50</v>
      </c>
      <c r="K243" s="79">
        <v>2</v>
      </c>
    </row>
    <row r="244" spans="1:12" ht="15.75">
      <c r="A244" s="120">
        <v>26</v>
      </c>
      <c r="B244" s="77" t="s">
        <v>115</v>
      </c>
      <c r="C244" s="7"/>
      <c r="D244" s="78" t="s">
        <v>125</v>
      </c>
      <c r="E244" s="79">
        <v>15</v>
      </c>
      <c r="F244" s="79">
        <v>15</v>
      </c>
      <c r="G244" s="79">
        <v>0</v>
      </c>
      <c r="H244" s="79">
        <v>0</v>
      </c>
      <c r="I244" s="79">
        <v>0</v>
      </c>
      <c r="J244" s="235">
        <v>25</v>
      </c>
      <c r="K244" s="79">
        <v>1</v>
      </c>
    </row>
    <row r="245" spans="1:12" ht="15.75">
      <c r="A245" s="120">
        <v>27</v>
      </c>
      <c r="B245" s="77" t="s">
        <v>115</v>
      </c>
      <c r="C245" s="7"/>
      <c r="D245" s="78" t="s">
        <v>125</v>
      </c>
      <c r="E245" s="79">
        <v>15</v>
      </c>
      <c r="F245" s="79">
        <v>15</v>
      </c>
      <c r="G245" s="79">
        <v>0</v>
      </c>
      <c r="H245" s="79">
        <v>0</v>
      </c>
      <c r="I245" s="79">
        <v>0</v>
      </c>
      <c r="J245" s="235">
        <v>25</v>
      </c>
      <c r="K245" s="79">
        <v>1</v>
      </c>
    </row>
    <row r="246" spans="1:12" ht="15.75">
      <c r="A246" s="120">
        <v>28</v>
      </c>
      <c r="B246" s="77" t="s">
        <v>115</v>
      </c>
      <c r="C246" s="7"/>
      <c r="D246" s="78" t="s">
        <v>128</v>
      </c>
      <c r="E246" s="79">
        <v>15</v>
      </c>
      <c r="F246" s="79">
        <v>15</v>
      </c>
      <c r="G246" s="79">
        <v>0</v>
      </c>
      <c r="H246" s="79">
        <v>0</v>
      </c>
      <c r="I246" s="79">
        <v>0</v>
      </c>
      <c r="J246" s="235">
        <v>25</v>
      </c>
      <c r="K246" s="79">
        <v>1</v>
      </c>
    </row>
    <row r="247" spans="1:12" ht="15.75">
      <c r="A247" s="120">
        <v>29</v>
      </c>
      <c r="B247" s="77" t="s">
        <v>115</v>
      </c>
      <c r="C247" s="7"/>
      <c r="D247" s="78" t="s">
        <v>128</v>
      </c>
      <c r="E247" s="79">
        <v>15</v>
      </c>
      <c r="F247" s="79">
        <v>15</v>
      </c>
      <c r="G247" s="79">
        <v>0</v>
      </c>
      <c r="H247" s="79">
        <v>0</v>
      </c>
      <c r="I247" s="79">
        <v>0</v>
      </c>
      <c r="J247" s="235">
        <v>25</v>
      </c>
      <c r="K247" s="79">
        <v>1</v>
      </c>
    </row>
    <row r="248" spans="1:12" ht="48" customHeight="1">
      <c r="A248" s="120">
        <v>30</v>
      </c>
      <c r="B248" s="764" t="s">
        <v>257</v>
      </c>
      <c r="C248" s="765"/>
      <c r="D248" s="78" t="s">
        <v>244</v>
      </c>
      <c r="E248" s="79">
        <v>135</v>
      </c>
      <c r="F248" s="79">
        <v>0</v>
      </c>
      <c r="G248" s="79">
        <v>135</v>
      </c>
      <c r="H248" s="79">
        <v>0</v>
      </c>
      <c r="I248" s="79">
        <v>0</v>
      </c>
      <c r="J248" s="235">
        <v>225</v>
      </c>
      <c r="K248" s="79">
        <v>9</v>
      </c>
    </row>
    <row r="249" spans="1:12">
      <c r="A249" s="756" t="s">
        <v>9</v>
      </c>
      <c r="B249" s="757"/>
      <c r="C249" s="757"/>
      <c r="D249" s="758"/>
      <c r="E249" s="83">
        <f t="shared" ref="E249:K249" si="14">SUM(E219:E248)</f>
        <v>650</v>
      </c>
      <c r="F249" s="83">
        <f t="shared" si="14"/>
        <v>435</v>
      </c>
      <c r="G249" s="83">
        <f t="shared" si="14"/>
        <v>215</v>
      </c>
      <c r="H249" s="83">
        <f t="shared" si="14"/>
        <v>0</v>
      </c>
      <c r="I249" s="83">
        <f t="shared" si="14"/>
        <v>0</v>
      </c>
      <c r="J249" s="235">
        <f t="shared" si="14"/>
        <v>1050</v>
      </c>
      <c r="K249" s="86">
        <f t="shared" si="14"/>
        <v>42</v>
      </c>
      <c r="L249" s="87"/>
    </row>
    <row r="250" spans="1:12" ht="26.25" customHeight="1">
      <c r="A250" s="750" t="s">
        <v>228</v>
      </c>
      <c r="B250" s="751"/>
      <c r="C250" s="751"/>
      <c r="D250" s="752"/>
      <c r="E250" s="145">
        <f t="shared" ref="E250:K250" si="15">SUM(E8,E29,E54,E83,E102,E151,E183,E197,E207,E217,E249,)</f>
        <v>6042</v>
      </c>
      <c r="F250" s="145">
        <f t="shared" si="15"/>
        <v>1660</v>
      </c>
      <c r="G250" s="145">
        <f t="shared" si="15"/>
        <v>1817</v>
      </c>
      <c r="H250" s="145">
        <f t="shared" si="15"/>
        <v>2335</v>
      </c>
      <c r="I250" s="145">
        <f t="shared" si="15"/>
        <v>230</v>
      </c>
      <c r="J250" s="240">
        <f t="shared" si="15"/>
        <v>9397</v>
      </c>
      <c r="K250" s="145">
        <f t="shared" si="15"/>
        <v>368</v>
      </c>
    </row>
    <row r="258" spans="3:3">
      <c r="C258" s="142" t="s">
        <v>122</v>
      </c>
    </row>
  </sheetData>
  <mergeCells count="45"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  <mergeCell ref="A1:K1"/>
    <mergeCell ref="A2:B2"/>
    <mergeCell ref="A3:B3"/>
    <mergeCell ref="A8:D8"/>
    <mergeCell ref="A20:K20"/>
    <mergeCell ref="A17:K17"/>
    <mergeCell ref="A10:K10"/>
    <mergeCell ref="A13:K13"/>
    <mergeCell ref="A197:D197"/>
    <mergeCell ref="A198:K198"/>
    <mergeCell ref="N221:Q221"/>
    <mergeCell ref="N219:Q219"/>
    <mergeCell ref="A207:B207"/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RowHeight="15"/>
  <cols>
    <col min="1" max="1" width="4" style="123" customWidth="1"/>
    <col min="2" max="2" width="3" style="100" bestFit="1" customWidth="1"/>
    <col min="3" max="3" width="58.42578125" style="95" customWidth="1"/>
    <col min="4" max="4" width="21.7109375" style="95" bestFit="1" customWidth="1"/>
    <col min="5" max="5" width="6.140625" style="100" customWidth="1"/>
    <col min="6" max="6" width="6.140625" style="119" customWidth="1"/>
    <col min="7" max="7" width="6.140625" style="100" customWidth="1"/>
    <col min="8" max="25" width="5.140625" style="100" customWidth="1"/>
    <col min="26" max="26" width="7" style="100" customWidth="1"/>
    <col min="27" max="30" width="6.140625" style="100" customWidth="1"/>
    <col min="31" max="31" width="9.140625" style="100" customWidth="1"/>
    <col min="32" max="32" width="7.140625" style="100" customWidth="1"/>
    <col min="33" max="16384" width="9.140625" style="95"/>
  </cols>
  <sheetData>
    <row r="1" spans="1:70" ht="76.5" customHeight="1" thickBot="1">
      <c r="A1" s="127"/>
      <c r="B1" s="160"/>
      <c r="C1" s="784" t="s">
        <v>261</v>
      </c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  <c r="R1" s="784"/>
      <c r="S1" s="784"/>
      <c r="T1" s="784"/>
      <c r="U1" s="784"/>
      <c r="V1" s="784"/>
      <c r="W1" s="784"/>
      <c r="X1" s="784"/>
      <c r="Y1" s="784"/>
      <c r="Z1" s="784"/>
      <c r="AA1" s="784"/>
      <c r="AB1" s="784"/>
      <c r="AC1" s="784"/>
      <c r="AD1" s="784"/>
      <c r="AE1" s="784"/>
      <c r="AF1" s="78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</row>
    <row r="2" spans="1:70" ht="18.75">
      <c r="B2" s="785"/>
      <c r="C2" s="786"/>
      <c r="D2" s="786"/>
      <c r="E2" s="786"/>
      <c r="F2" s="786"/>
      <c r="G2" s="787"/>
      <c r="H2" s="788" t="s">
        <v>103</v>
      </c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788"/>
      <c r="AD2" s="788"/>
      <c r="AE2" s="788"/>
      <c r="AF2" s="789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</row>
    <row r="3" spans="1:70" ht="13.5" customHeight="1">
      <c r="B3" s="790" t="s">
        <v>0</v>
      </c>
      <c r="C3" s="791" t="s">
        <v>4</v>
      </c>
      <c r="D3" s="791" t="s">
        <v>1</v>
      </c>
      <c r="E3" s="792" t="s">
        <v>8</v>
      </c>
      <c r="F3" s="792"/>
      <c r="G3" s="792"/>
      <c r="H3" s="793" t="s">
        <v>89</v>
      </c>
      <c r="I3" s="793"/>
      <c r="J3" s="793" t="s">
        <v>88</v>
      </c>
      <c r="K3" s="793"/>
      <c r="L3" s="793" t="s">
        <v>94</v>
      </c>
      <c r="M3" s="793"/>
      <c r="N3" s="793" t="s">
        <v>90</v>
      </c>
      <c r="O3" s="793"/>
      <c r="P3" s="798" t="s">
        <v>7</v>
      </c>
      <c r="Q3" s="800" t="s">
        <v>89</v>
      </c>
      <c r="R3" s="800"/>
      <c r="S3" s="800" t="s">
        <v>88</v>
      </c>
      <c r="T3" s="800"/>
      <c r="U3" s="800" t="s">
        <v>94</v>
      </c>
      <c r="V3" s="800"/>
      <c r="W3" s="800" t="s">
        <v>90</v>
      </c>
      <c r="X3" s="800"/>
      <c r="Y3" s="798" t="s">
        <v>7</v>
      </c>
      <c r="Z3" s="799" t="s">
        <v>5</v>
      </c>
      <c r="AA3" s="799" t="s">
        <v>89</v>
      </c>
      <c r="AB3" s="799" t="s">
        <v>88</v>
      </c>
      <c r="AC3" s="799" t="s">
        <v>94</v>
      </c>
      <c r="AD3" s="799" t="s">
        <v>90</v>
      </c>
      <c r="AE3" s="799" t="s">
        <v>14</v>
      </c>
      <c r="AF3" s="799" t="s">
        <v>6</v>
      </c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</row>
    <row r="4" spans="1:70" ht="13.5" customHeight="1">
      <c r="B4" s="790"/>
      <c r="C4" s="791"/>
      <c r="D4" s="791"/>
      <c r="E4" s="792"/>
      <c r="F4" s="792"/>
      <c r="G4" s="792"/>
      <c r="H4" s="793"/>
      <c r="I4" s="793"/>
      <c r="J4" s="793"/>
      <c r="K4" s="793"/>
      <c r="L4" s="793"/>
      <c r="M4" s="793"/>
      <c r="N4" s="793"/>
      <c r="O4" s="793"/>
      <c r="P4" s="798"/>
      <c r="Q4" s="800"/>
      <c r="R4" s="800"/>
      <c r="S4" s="800"/>
      <c r="T4" s="800"/>
      <c r="U4" s="800"/>
      <c r="V4" s="800"/>
      <c r="W4" s="800"/>
      <c r="X4" s="800"/>
      <c r="Y4" s="798"/>
      <c r="Z4" s="799"/>
      <c r="AA4" s="799"/>
      <c r="AB4" s="799"/>
      <c r="AC4" s="799"/>
      <c r="AD4" s="799"/>
      <c r="AE4" s="799"/>
      <c r="AF4" s="799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</row>
    <row r="5" spans="1:70" ht="18.75" customHeight="1">
      <c r="B5" s="790"/>
      <c r="C5" s="791"/>
      <c r="D5" s="791"/>
      <c r="E5" s="791" t="s">
        <v>2</v>
      </c>
      <c r="F5" s="791" t="s">
        <v>13</v>
      </c>
      <c r="G5" s="791" t="s">
        <v>12</v>
      </c>
      <c r="H5" s="793"/>
      <c r="I5" s="793"/>
      <c r="J5" s="793"/>
      <c r="K5" s="793"/>
      <c r="L5" s="793"/>
      <c r="M5" s="793"/>
      <c r="N5" s="793"/>
      <c r="O5" s="793"/>
      <c r="P5" s="798"/>
      <c r="Q5" s="800"/>
      <c r="R5" s="800"/>
      <c r="S5" s="800"/>
      <c r="T5" s="800"/>
      <c r="U5" s="800"/>
      <c r="V5" s="800"/>
      <c r="W5" s="800"/>
      <c r="X5" s="800"/>
      <c r="Y5" s="798"/>
      <c r="Z5" s="799"/>
      <c r="AA5" s="799"/>
      <c r="AB5" s="799"/>
      <c r="AC5" s="799"/>
      <c r="AD5" s="799"/>
      <c r="AE5" s="799"/>
      <c r="AF5" s="799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</row>
    <row r="6" spans="1:70" ht="45.75" customHeight="1">
      <c r="B6" s="790"/>
      <c r="C6" s="791"/>
      <c r="D6" s="791"/>
      <c r="E6" s="791"/>
      <c r="F6" s="791"/>
      <c r="G6" s="791"/>
      <c r="H6" s="103" t="s">
        <v>15</v>
      </c>
      <c r="I6" s="103" t="s">
        <v>16</v>
      </c>
      <c r="J6" s="103" t="s">
        <v>15</v>
      </c>
      <c r="K6" s="103" t="s">
        <v>16</v>
      </c>
      <c r="L6" s="103" t="s">
        <v>15</v>
      </c>
      <c r="M6" s="103" t="s">
        <v>16</v>
      </c>
      <c r="N6" s="103" t="s">
        <v>15</v>
      </c>
      <c r="O6" s="103" t="s">
        <v>16</v>
      </c>
      <c r="P6" s="798"/>
      <c r="Q6" s="103" t="s">
        <v>15</v>
      </c>
      <c r="R6" s="103" t="s">
        <v>16</v>
      </c>
      <c r="S6" s="103" t="s">
        <v>15</v>
      </c>
      <c r="T6" s="103" t="s">
        <v>16</v>
      </c>
      <c r="U6" s="103" t="s">
        <v>15</v>
      </c>
      <c r="V6" s="103" t="s">
        <v>16</v>
      </c>
      <c r="W6" s="103" t="s">
        <v>15</v>
      </c>
      <c r="X6" s="103" t="s">
        <v>16</v>
      </c>
      <c r="Y6" s="798"/>
      <c r="Z6" s="799"/>
      <c r="AA6" s="799"/>
      <c r="AB6" s="799"/>
      <c r="AC6" s="799"/>
      <c r="AD6" s="799"/>
      <c r="AE6" s="799"/>
      <c r="AF6" s="799"/>
    </row>
    <row r="7" spans="1:70" ht="24.75" customHeight="1">
      <c r="A7" s="794" t="s">
        <v>109</v>
      </c>
      <c r="B7" s="795" t="str">
        <f>'I rok'!A48</f>
        <v>* Zajęcia fakultatywne (student w pierwszym semestrze wybiera 1 z 2, w drugim semestrze wybiera 1 z 2)</v>
      </c>
      <c r="C7" s="796"/>
      <c r="D7" s="796"/>
      <c r="E7" s="796"/>
      <c r="F7" s="796"/>
      <c r="G7" s="796"/>
      <c r="H7" s="796"/>
      <c r="I7" s="796"/>
      <c r="J7" s="796"/>
      <c r="K7" s="796"/>
      <c r="L7" s="796"/>
      <c r="M7" s="796"/>
      <c r="N7" s="796"/>
      <c r="O7" s="796"/>
      <c r="P7" s="796"/>
      <c r="Q7" s="796"/>
      <c r="R7" s="796"/>
      <c r="S7" s="796"/>
      <c r="T7" s="796"/>
      <c r="U7" s="796"/>
      <c r="V7" s="796"/>
      <c r="W7" s="796"/>
      <c r="X7" s="796"/>
      <c r="Y7" s="796"/>
      <c r="Z7" s="796"/>
      <c r="AA7" s="796"/>
      <c r="AB7" s="796"/>
      <c r="AC7" s="796"/>
      <c r="AD7" s="796"/>
      <c r="AE7" s="796"/>
      <c r="AF7" s="797"/>
    </row>
    <row r="8" spans="1:70" ht="24.75" customHeight="1">
      <c r="A8" s="794"/>
      <c r="B8" s="79">
        <v>1</v>
      </c>
      <c r="C8" s="105" t="s">
        <v>112</v>
      </c>
      <c r="D8" s="106" t="str">
        <f>"0912-7LEK-F-"&amp;B8&amp;"-"&amp;UPPER(LEFT(C8,1))&amp;"HKN"</f>
        <v>0912-7LEK-F-1-ZHKN</v>
      </c>
      <c r="E8" s="107"/>
      <c r="F8" s="108">
        <v>1</v>
      </c>
      <c r="G8" s="109"/>
      <c r="H8" s="110">
        <v>15</v>
      </c>
      <c r="I8" s="79">
        <v>10</v>
      </c>
      <c r="J8" s="79"/>
      <c r="K8" s="79"/>
      <c r="L8" s="79"/>
      <c r="M8" s="79"/>
      <c r="N8" s="79"/>
      <c r="O8" s="79"/>
      <c r="P8" s="109">
        <v>1</v>
      </c>
      <c r="Q8" s="110"/>
      <c r="R8" s="79"/>
      <c r="S8" s="79"/>
      <c r="T8" s="79"/>
      <c r="U8" s="79"/>
      <c r="V8" s="79"/>
      <c r="W8" s="79"/>
      <c r="X8" s="79"/>
      <c r="Y8" s="109"/>
      <c r="Z8" s="110">
        <f>SUM(H8,J8,L8,N8,Q8,S8,U8,W8)</f>
        <v>15</v>
      </c>
      <c r="AA8" s="79">
        <f>SUM(H8,Q8)</f>
        <v>15</v>
      </c>
      <c r="AB8" s="79"/>
      <c r="AC8" s="79"/>
      <c r="AD8" s="79"/>
      <c r="AE8" s="79">
        <f>SUM(H8:O8,Q8:X8)</f>
        <v>25</v>
      </c>
      <c r="AF8" s="79">
        <f>SUM(P8,Y8)</f>
        <v>1</v>
      </c>
    </row>
    <row r="9" spans="1:70" ht="24.75" customHeight="1">
      <c r="A9" s="794"/>
      <c r="B9" s="79" t="e">
        <f>'I rok'!#REF!</f>
        <v>#REF!</v>
      </c>
      <c r="C9" s="85" t="e">
        <f>'I rok'!#REF!</f>
        <v>#REF!</v>
      </c>
      <c r="D9" s="111" t="e">
        <f>'I rok'!#REF!</f>
        <v>#REF!</v>
      </c>
      <c r="E9" s="107"/>
      <c r="F9" s="108" t="e">
        <f>'I rok'!#REF!</f>
        <v>#REF!</v>
      </c>
      <c r="G9" s="109"/>
      <c r="H9" s="110" t="e">
        <f>'I rok'!#REF!</f>
        <v>#REF!</v>
      </c>
      <c r="I9" s="79" t="e">
        <f>'I rok'!#REF!</f>
        <v>#REF!</v>
      </c>
      <c r="J9" s="79"/>
      <c r="K9" s="79"/>
      <c r="L9" s="79"/>
      <c r="M9" s="79"/>
      <c r="N9" s="79"/>
      <c r="O9" s="79"/>
      <c r="P9" s="109" t="e">
        <f>'I rok'!#REF!</f>
        <v>#REF!</v>
      </c>
      <c r="Q9" s="110"/>
      <c r="R9" s="79"/>
      <c r="S9" s="79"/>
      <c r="T9" s="79"/>
      <c r="U9" s="79"/>
      <c r="V9" s="79"/>
      <c r="W9" s="79"/>
      <c r="X9" s="79"/>
      <c r="Y9" s="109"/>
      <c r="Z9" s="110" t="e">
        <f>'I rok'!#REF!</f>
        <v>#REF!</v>
      </c>
      <c r="AA9" s="79" t="e">
        <f>'I rok'!#REF!</f>
        <v>#REF!</v>
      </c>
      <c r="AB9" s="79"/>
      <c r="AC9" s="79"/>
      <c r="AD9" s="79"/>
      <c r="AE9" s="79" t="e">
        <f>'I rok'!#REF!</f>
        <v>#REF!</v>
      </c>
      <c r="AF9" s="79" t="e">
        <f>'I rok'!#REF!</f>
        <v>#REF!</v>
      </c>
    </row>
    <row r="10" spans="1:70" ht="24.75" customHeight="1">
      <c r="A10" s="794"/>
      <c r="B10" s="79">
        <v>3</v>
      </c>
      <c r="C10" s="85" t="str">
        <f>'III rok'!B53</f>
        <v>Aktywne składniki materii żywej</v>
      </c>
      <c r="D10" s="111" t="str">
        <f>'III rok'!C53</f>
        <v>0912-7LEK-F-25-ASMŻ</v>
      </c>
      <c r="E10" s="107"/>
      <c r="F10" s="108">
        <f>'III rok'!E53</f>
        <v>6</v>
      </c>
      <c r="G10" s="109"/>
      <c r="H10" s="110">
        <f>'III rok'!G53</f>
        <v>0</v>
      </c>
      <c r="I10" s="79">
        <f>'III rok'!H53</f>
        <v>0</v>
      </c>
      <c r="J10" s="79"/>
      <c r="K10" s="79"/>
      <c r="L10" s="79"/>
      <c r="M10" s="79"/>
      <c r="N10" s="79"/>
      <c r="O10" s="79"/>
      <c r="P10" s="109">
        <f>'III rok'!O53</f>
        <v>0</v>
      </c>
      <c r="Q10" s="110"/>
      <c r="R10" s="79"/>
      <c r="S10" s="79"/>
      <c r="T10" s="79"/>
      <c r="U10" s="79"/>
      <c r="V10" s="79"/>
      <c r="W10" s="79"/>
      <c r="X10" s="79"/>
      <c r="Y10" s="109"/>
      <c r="Z10" s="110">
        <f>'III rok'!Y53</f>
        <v>15</v>
      </c>
      <c r="AA10" s="79">
        <f>'III rok'!Z53</f>
        <v>15</v>
      </c>
      <c r="AB10" s="79"/>
      <c r="AC10" s="79"/>
      <c r="AD10" s="79"/>
      <c r="AE10" s="79">
        <f>'III rok'!AD53</f>
        <v>25</v>
      </c>
      <c r="AF10" s="79">
        <f>'III rok'!AE53</f>
        <v>1</v>
      </c>
    </row>
    <row r="11" spans="1:70" ht="24.75" customHeight="1">
      <c r="A11" s="794"/>
      <c r="B11" s="79">
        <v>4</v>
      </c>
      <c r="C11" s="85" t="str">
        <f>'I rok'!B51</f>
        <v>Struktury ciała ludzkiego w badaniach obrazowych</v>
      </c>
      <c r="D11" s="111" t="str">
        <f>'I rok'!C51</f>
        <v>0912-7LEK-F-3-SC</v>
      </c>
      <c r="E11" s="107"/>
      <c r="F11" s="108">
        <f>'I rok'!E51</f>
        <v>2</v>
      </c>
      <c r="G11" s="109"/>
      <c r="H11" s="110"/>
      <c r="I11" s="79"/>
      <c r="J11" s="79"/>
      <c r="K11" s="79"/>
      <c r="L11" s="79"/>
      <c r="M11" s="79"/>
      <c r="N11" s="79"/>
      <c r="O11" s="79"/>
      <c r="P11" s="109"/>
      <c r="Q11" s="110">
        <f>'I rok'!P51</f>
        <v>15</v>
      </c>
      <c r="R11" s="79">
        <f>'I rok'!Q51</f>
        <v>10</v>
      </c>
      <c r="S11" s="79"/>
      <c r="T11" s="79"/>
      <c r="U11" s="79"/>
      <c r="V11" s="79"/>
      <c r="W11" s="79"/>
      <c r="X11" s="79"/>
      <c r="Y11" s="109">
        <f>'I rok'!X51</f>
        <v>1</v>
      </c>
      <c r="Z11" s="110">
        <f>'I rok'!Y51</f>
        <v>15</v>
      </c>
      <c r="AA11" s="79">
        <f>'I rok'!Z51</f>
        <v>15</v>
      </c>
      <c r="AB11" s="79"/>
      <c r="AC11" s="79"/>
      <c r="AD11" s="79"/>
      <c r="AE11" s="79">
        <f>'I rok'!AD51</f>
        <v>25</v>
      </c>
      <c r="AF11" s="79">
        <f>'I rok'!AE51</f>
        <v>1</v>
      </c>
    </row>
    <row r="12" spans="1:70" ht="24.75" customHeight="1">
      <c r="A12" s="794"/>
      <c r="B12" s="79">
        <v>5</v>
      </c>
      <c r="C12" s="85" t="str">
        <f>'I rok'!B52</f>
        <v>Strukturalne podstawy interwencji sercowo-naczyniowych (w języku angielskim)</v>
      </c>
      <c r="D12" s="111" t="str">
        <f>'I rok'!C52</f>
        <v>0912-7LEK-F-4-SSP</v>
      </c>
      <c r="E12" s="107"/>
      <c r="F12" s="108">
        <f>'I rok'!E52</f>
        <v>2</v>
      </c>
      <c r="G12" s="109"/>
      <c r="H12" s="110"/>
      <c r="I12" s="79"/>
      <c r="J12" s="79"/>
      <c r="K12" s="79"/>
      <c r="L12" s="79"/>
      <c r="M12" s="79"/>
      <c r="N12" s="79"/>
      <c r="O12" s="79"/>
      <c r="P12" s="109"/>
      <c r="Q12" s="110">
        <f>'I rok'!P52</f>
        <v>15</v>
      </c>
      <c r="R12" s="79">
        <f>'I rok'!Q52</f>
        <v>10</v>
      </c>
      <c r="S12" s="79"/>
      <c r="T12" s="79"/>
      <c r="U12" s="79"/>
      <c r="V12" s="79"/>
      <c r="W12" s="79"/>
      <c r="X12" s="79"/>
      <c r="Y12" s="109">
        <f>'I rok'!X52</f>
        <v>1</v>
      </c>
      <c r="Z12" s="110">
        <f>'I rok'!Y52</f>
        <v>15</v>
      </c>
      <c r="AA12" s="79">
        <f>'I rok'!Z52</f>
        <v>15</v>
      </c>
      <c r="AB12" s="79"/>
      <c r="AC12" s="79"/>
      <c r="AD12" s="79"/>
      <c r="AE12" s="79">
        <f>'I rok'!AD52</f>
        <v>25</v>
      </c>
      <c r="AF12" s="79">
        <f>'I rok'!AE52</f>
        <v>1</v>
      </c>
    </row>
    <row r="13" spans="1:70" ht="24.75" customHeight="1">
      <c r="A13" s="794"/>
      <c r="B13" s="79">
        <v>6</v>
      </c>
      <c r="C13" s="85" t="str">
        <f>'III rok'!B47</f>
        <v>Nowoczesne techniki mikroskopowe w medycynie</v>
      </c>
      <c r="D13" s="111" t="str">
        <f>'III rok'!C47</f>
        <v>0912-7LEK-F-19-NT</v>
      </c>
      <c r="E13" s="107"/>
      <c r="F13" s="108">
        <f>'III rok'!E47</f>
        <v>5</v>
      </c>
      <c r="G13" s="109"/>
      <c r="H13" s="110"/>
      <c r="I13" s="79"/>
      <c r="J13" s="79"/>
      <c r="K13" s="79"/>
      <c r="L13" s="79"/>
      <c r="M13" s="79"/>
      <c r="N13" s="79"/>
      <c r="O13" s="79"/>
      <c r="P13" s="109"/>
      <c r="Q13" s="110">
        <f>'III rok'!P47</f>
        <v>0</v>
      </c>
      <c r="R13" s="79">
        <f>'III rok'!Q47</f>
        <v>0</v>
      </c>
      <c r="S13" s="79"/>
      <c r="T13" s="79"/>
      <c r="U13" s="79"/>
      <c r="V13" s="79"/>
      <c r="W13" s="79"/>
      <c r="X13" s="79"/>
      <c r="Y13" s="109">
        <f>'III rok'!X47</f>
        <v>0</v>
      </c>
      <c r="Z13" s="110">
        <f>'III rok'!Y47</f>
        <v>15</v>
      </c>
      <c r="AA13" s="79">
        <f>'III rok'!Z47</f>
        <v>0</v>
      </c>
      <c r="AB13" s="79"/>
      <c r="AC13" s="79"/>
      <c r="AD13" s="79"/>
      <c r="AE13" s="79">
        <f>'III rok'!AD47</f>
        <v>25</v>
      </c>
      <c r="AF13" s="79">
        <f>'III rok'!AE47</f>
        <v>1</v>
      </c>
    </row>
    <row r="14" spans="1:70" ht="24.75" customHeight="1">
      <c r="A14" s="794" t="s">
        <v>118</v>
      </c>
      <c r="B14" s="804" t="str">
        <f>'II rok'!A48</f>
        <v>* Zajęcia fakultatywne (student wybiera w 3 semestrze 3 z 5; w 4 semestrze 2 z 7)</v>
      </c>
      <c r="C14" s="805"/>
      <c r="D14" s="805"/>
      <c r="E14" s="805"/>
      <c r="F14" s="805"/>
      <c r="G14" s="805"/>
      <c r="H14" s="805"/>
      <c r="I14" s="805"/>
      <c r="J14" s="805"/>
      <c r="K14" s="805"/>
      <c r="L14" s="805"/>
      <c r="M14" s="805"/>
      <c r="N14" s="805"/>
      <c r="O14" s="805"/>
      <c r="P14" s="805"/>
      <c r="Q14" s="805"/>
      <c r="R14" s="805"/>
      <c r="S14" s="805"/>
      <c r="T14" s="805"/>
      <c r="U14" s="805"/>
      <c r="V14" s="805"/>
      <c r="W14" s="805"/>
      <c r="X14" s="805"/>
      <c r="Y14" s="805"/>
      <c r="Z14" s="805"/>
      <c r="AA14" s="805"/>
      <c r="AB14" s="805"/>
      <c r="AC14" s="805"/>
      <c r="AD14" s="805"/>
      <c r="AE14" s="805"/>
      <c r="AF14" s="806"/>
    </row>
    <row r="15" spans="1:70" ht="24.75" customHeight="1">
      <c r="A15" s="794"/>
      <c r="B15" s="118" t="s">
        <v>143</v>
      </c>
      <c r="C15" s="112" t="str">
        <f>'II rok'!B50</f>
        <v>Praktyka medyczna oparta na dowodach naukowych (EBM)</v>
      </c>
      <c r="D15" s="113" t="str">
        <f>'II rok'!C50</f>
        <v>0912-7LEK-F-5-MOD</v>
      </c>
      <c r="E15" s="114"/>
      <c r="F15" s="115">
        <f>'II rok'!E50</f>
        <v>3</v>
      </c>
      <c r="G15" s="116"/>
      <c r="H15" s="117">
        <f>'II rok'!G50</f>
        <v>0</v>
      </c>
      <c r="I15" s="118">
        <f>'II rok'!H50</f>
        <v>0</v>
      </c>
      <c r="J15" s="118"/>
      <c r="K15" s="118"/>
      <c r="L15" s="118"/>
      <c r="M15" s="118"/>
      <c r="N15" s="118"/>
      <c r="O15" s="118"/>
      <c r="P15" s="116">
        <f>'II rok'!O50</f>
        <v>1</v>
      </c>
      <c r="Q15" s="117"/>
      <c r="R15" s="118"/>
      <c r="S15" s="118"/>
      <c r="T15" s="118"/>
      <c r="U15" s="118"/>
      <c r="V15" s="118"/>
      <c r="W15" s="118"/>
      <c r="X15" s="118"/>
      <c r="Y15" s="116"/>
      <c r="Z15" s="117">
        <f>'II rok'!Y50</f>
        <v>20</v>
      </c>
      <c r="AA15" s="118">
        <f>'II rok'!Z50</f>
        <v>0</v>
      </c>
      <c r="AB15" s="118"/>
      <c r="AC15" s="118"/>
      <c r="AD15" s="118"/>
      <c r="AE15" s="118">
        <f>'II rok'!AD50</f>
        <v>25</v>
      </c>
      <c r="AF15" s="118">
        <f>'II rok'!AE50</f>
        <v>1</v>
      </c>
    </row>
    <row r="16" spans="1:70" ht="24.75" customHeight="1">
      <c r="A16" s="794"/>
      <c r="B16" s="118" t="s">
        <v>140</v>
      </c>
      <c r="C16" s="112" t="str">
        <f>'II rok'!B51</f>
        <v>Żywność modyfikowana genetycznie</v>
      </c>
      <c r="D16" s="113" t="str">
        <f>'II rok'!C51</f>
        <v>0912-7LEK-F-6-ZMG</v>
      </c>
      <c r="E16" s="114"/>
      <c r="F16" s="115">
        <f>'II rok'!E51</f>
        <v>3</v>
      </c>
      <c r="G16" s="116"/>
      <c r="H16" s="117">
        <f>'II rok'!G51</f>
        <v>15</v>
      </c>
      <c r="I16" s="118">
        <f>'II rok'!H51</f>
        <v>10</v>
      </c>
      <c r="J16" s="118"/>
      <c r="K16" s="118"/>
      <c r="L16" s="118"/>
      <c r="M16" s="118"/>
      <c r="N16" s="118"/>
      <c r="O16" s="118"/>
      <c r="P16" s="116">
        <f>'II rok'!O51</f>
        <v>1</v>
      </c>
      <c r="Q16" s="117"/>
      <c r="R16" s="118"/>
      <c r="S16" s="118"/>
      <c r="T16" s="118"/>
      <c r="U16" s="118"/>
      <c r="V16" s="118"/>
      <c r="W16" s="118"/>
      <c r="X16" s="118"/>
      <c r="Y16" s="116"/>
      <c r="Z16" s="117">
        <f>'II rok'!Y51</f>
        <v>15</v>
      </c>
      <c r="AA16" s="118">
        <f>'II rok'!Z51</f>
        <v>15</v>
      </c>
      <c r="AB16" s="118"/>
      <c r="AC16" s="118"/>
      <c r="AD16" s="118"/>
      <c r="AE16" s="118">
        <f>'II rok'!AD51</f>
        <v>25</v>
      </c>
      <c r="AF16" s="118">
        <f>'II rok'!AE51</f>
        <v>1</v>
      </c>
    </row>
    <row r="17" spans="1:32" ht="24.75" customHeight="1">
      <c r="A17" s="794"/>
      <c r="B17" s="118" t="s">
        <v>125</v>
      </c>
      <c r="C17" s="272" t="str">
        <f>'II rok'!B52</f>
        <v xml:space="preserve">Racjonalna antybiotykoterapia </v>
      </c>
      <c r="D17" s="273" t="str">
        <f>'II rok'!C52</f>
        <v>0912-7LEK-F7-RA</v>
      </c>
      <c r="E17" s="274"/>
      <c r="F17" s="275">
        <f>'II rok'!E52</f>
        <v>3</v>
      </c>
      <c r="G17" s="116"/>
      <c r="H17" s="117">
        <f>'II rok'!G52</f>
        <v>15</v>
      </c>
      <c r="I17" s="118">
        <f>'II rok'!H52</f>
        <v>10</v>
      </c>
      <c r="J17" s="118"/>
      <c r="K17" s="118"/>
      <c r="L17" s="118"/>
      <c r="M17" s="118"/>
      <c r="N17" s="118"/>
      <c r="O17" s="118"/>
      <c r="P17" s="116">
        <f>'II rok'!O52</f>
        <v>1</v>
      </c>
      <c r="Q17" s="117"/>
      <c r="R17" s="118"/>
      <c r="S17" s="118"/>
      <c r="T17" s="118"/>
      <c r="U17" s="118"/>
      <c r="V17" s="118"/>
      <c r="W17" s="118"/>
      <c r="X17" s="118"/>
      <c r="Y17" s="116"/>
      <c r="Z17" s="117">
        <f>'II rok'!Y52</f>
        <v>15</v>
      </c>
      <c r="AA17" s="118">
        <f>'II rok'!Z52</f>
        <v>15</v>
      </c>
      <c r="AB17" s="118"/>
      <c r="AC17" s="118"/>
      <c r="AD17" s="118"/>
      <c r="AE17" s="118">
        <f>'II rok'!AD52</f>
        <v>25</v>
      </c>
      <c r="AF17" s="118">
        <f>'II rok'!AE52</f>
        <v>1</v>
      </c>
    </row>
    <row r="18" spans="1:32" ht="24.75" customHeight="1">
      <c r="A18" s="794"/>
      <c r="B18" s="118" t="s">
        <v>128</v>
      </c>
      <c r="C18" s="112" t="str">
        <f>'II rok'!B54</f>
        <v xml:space="preserve">Inżynieria genetyczna </v>
      </c>
      <c r="D18" s="113" t="str">
        <f>'II rok'!C54</f>
        <v>0912-7LEK-F9-IG</v>
      </c>
      <c r="E18" s="114"/>
      <c r="F18" s="115">
        <f>'II rok'!E54</f>
        <v>4</v>
      </c>
      <c r="G18" s="116"/>
      <c r="H18" s="117"/>
      <c r="I18" s="118"/>
      <c r="J18" s="118"/>
      <c r="K18" s="118"/>
      <c r="L18" s="118"/>
      <c r="M18" s="118"/>
      <c r="N18" s="118"/>
      <c r="O18" s="118"/>
      <c r="P18" s="116"/>
      <c r="Q18" s="117"/>
      <c r="R18" s="118"/>
      <c r="S18" s="118">
        <f>'II rok'!R54</f>
        <v>0</v>
      </c>
      <c r="T18" s="118">
        <f>'II rok'!S54</f>
        <v>0</v>
      </c>
      <c r="U18" s="118"/>
      <c r="V18" s="118"/>
      <c r="W18" s="118"/>
      <c r="X18" s="118"/>
      <c r="Y18" s="116">
        <f>'II rok'!X54</f>
        <v>1</v>
      </c>
      <c r="Z18" s="117">
        <f>'II rok'!Y54</f>
        <v>15</v>
      </c>
      <c r="AA18" s="118"/>
      <c r="AB18" s="118">
        <f>'II rok'!AA54</f>
        <v>0</v>
      </c>
      <c r="AC18" s="118"/>
      <c r="AD18" s="118"/>
      <c r="AE18" s="118">
        <f>'II rok'!AD54</f>
        <v>25</v>
      </c>
      <c r="AF18" s="118">
        <f>'II rok'!AE54</f>
        <v>1</v>
      </c>
    </row>
    <row r="19" spans="1:32" ht="24.75" customHeight="1">
      <c r="A19" s="794"/>
      <c r="B19" s="118" t="s">
        <v>129</v>
      </c>
      <c r="C19" s="112" t="str">
        <f>'II rok'!B55</f>
        <v>Elektrofizjologia</v>
      </c>
      <c r="D19" s="113" t="str">
        <f>'II rok'!C55</f>
        <v>0912-7LEK-F-10-Ef</v>
      </c>
      <c r="E19" s="114"/>
      <c r="F19" s="115">
        <f>'II rok'!E55</f>
        <v>4</v>
      </c>
      <c r="G19" s="116"/>
      <c r="H19" s="117"/>
      <c r="I19" s="118"/>
      <c r="J19" s="118"/>
      <c r="K19" s="118"/>
      <c r="L19" s="118"/>
      <c r="M19" s="118"/>
      <c r="N19" s="118"/>
      <c r="O19" s="118"/>
      <c r="P19" s="116"/>
      <c r="Q19" s="117">
        <f>'II rok'!P55</f>
        <v>0</v>
      </c>
      <c r="R19" s="118">
        <f>'II rok'!Q55</f>
        <v>0</v>
      </c>
      <c r="S19" s="118"/>
      <c r="T19" s="118"/>
      <c r="U19" s="118"/>
      <c r="V19" s="118"/>
      <c r="W19" s="118"/>
      <c r="X19" s="118"/>
      <c r="Y19" s="116">
        <f>'II rok'!X55</f>
        <v>1</v>
      </c>
      <c r="Z19" s="117">
        <f>'II rok'!Y55</f>
        <v>20</v>
      </c>
      <c r="AA19" s="118">
        <f>'II rok'!Z55</f>
        <v>0</v>
      </c>
      <c r="AB19" s="118"/>
      <c r="AC19" s="118"/>
      <c r="AD19" s="118"/>
      <c r="AE19" s="118">
        <f>'II rok'!AD55</f>
        <v>25</v>
      </c>
      <c r="AF19" s="118">
        <f>'II rok'!AE55</f>
        <v>1</v>
      </c>
    </row>
    <row r="20" spans="1:32" ht="24.75" customHeight="1">
      <c r="A20" s="794"/>
      <c r="B20" s="118" t="s">
        <v>130</v>
      </c>
      <c r="C20" s="112" t="str">
        <f>'II rok'!B56</f>
        <v>Aparatura medyczna</v>
      </c>
      <c r="D20" s="113" t="str">
        <f>'II rok'!C56</f>
        <v>0912-7LEK-F-11-AM</v>
      </c>
      <c r="E20" s="114"/>
      <c r="F20" s="115">
        <f>'II rok'!E56</f>
        <v>4</v>
      </c>
      <c r="G20" s="116"/>
      <c r="H20" s="117"/>
      <c r="I20" s="118"/>
      <c r="J20" s="118"/>
      <c r="K20" s="118"/>
      <c r="L20" s="118"/>
      <c r="M20" s="118"/>
      <c r="N20" s="118"/>
      <c r="O20" s="118"/>
      <c r="P20" s="116"/>
      <c r="Q20" s="117">
        <f>'II rok'!P56</f>
        <v>15</v>
      </c>
      <c r="R20" s="118">
        <f>'II rok'!Q56</f>
        <v>10</v>
      </c>
      <c r="S20" s="118"/>
      <c r="T20" s="118"/>
      <c r="U20" s="118"/>
      <c r="V20" s="118"/>
      <c r="W20" s="118"/>
      <c r="X20" s="118"/>
      <c r="Y20" s="116">
        <f>'II rok'!X56</f>
        <v>1</v>
      </c>
      <c r="Z20" s="117">
        <f>'II rok'!Y56</f>
        <v>15</v>
      </c>
      <c r="AA20" s="118">
        <f>'II rok'!Z56</f>
        <v>15</v>
      </c>
      <c r="AB20" s="118"/>
      <c r="AC20" s="118"/>
      <c r="AD20" s="118"/>
      <c r="AE20" s="118">
        <f>'II rok'!AD56</f>
        <v>25</v>
      </c>
      <c r="AF20" s="118">
        <f>'II rok'!AE56</f>
        <v>1</v>
      </c>
    </row>
    <row r="21" spans="1:32" ht="24.75" customHeight="1">
      <c r="A21" s="794"/>
      <c r="B21" s="118" t="s">
        <v>131</v>
      </c>
      <c r="C21" s="112" t="str">
        <f>'II rok'!B57</f>
        <v>Immunologia onkologiczna</v>
      </c>
      <c r="D21" s="113" t="str">
        <f>'II rok'!C57</f>
        <v>0912-7LEK-F-12-IO</v>
      </c>
      <c r="E21" s="114"/>
      <c r="F21" s="115">
        <f>'II rok'!E57</f>
        <v>4</v>
      </c>
      <c r="G21" s="116"/>
      <c r="H21" s="150"/>
      <c r="I21" s="151"/>
      <c r="J21" s="151"/>
      <c r="K21" s="151"/>
      <c r="L21" s="151"/>
      <c r="M21" s="151"/>
      <c r="N21" s="151"/>
      <c r="O21" s="151"/>
      <c r="P21" s="149"/>
      <c r="Q21" s="150">
        <f>'II rok'!P57</f>
        <v>15</v>
      </c>
      <c r="R21" s="151">
        <f>'II rok'!Q57</f>
        <v>10</v>
      </c>
      <c r="S21" s="151"/>
      <c r="T21" s="151"/>
      <c r="U21" s="151"/>
      <c r="V21" s="151"/>
      <c r="W21" s="151"/>
      <c r="X21" s="151"/>
      <c r="Y21" s="149">
        <f>'II rok'!X57</f>
        <v>1</v>
      </c>
      <c r="Z21" s="150">
        <f>'II rok'!Y57</f>
        <v>15</v>
      </c>
      <c r="AA21" s="151">
        <f>'II rok'!Z57</f>
        <v>15</v>
      </c>
      <c r="AB21" s="151"/>
      <c r="AC21" s="151"/>
      <c r="AD21" s="151"/>
      <c r="AE21" s="151">
        <f>'II rok'!AD57</f>
        <v>25</v>
      </c>
      <c r="AF21" s="151">
        <f>'II rok'!AE57</f>
        <v>1</v>
      </c>
    </row>
    <row r="22" spans="1:32" ht="24.75" customHeight="1">
      <c r="A22" s="164"/>
      <c r="B22" s="118" t="s">
        <v>132</v>
      </c>
      <c r="C22" s="167" t="s">
        <v>264</v>
      </c>
      <c r="D22" s="166" t="str">
        <f>"0912-7LEK-F-"&amp;B22&amp;"-"&amp;UPPER(LEFT(C22,1))&amp;"O"</f>
        <v>0912-7LEK-F-14-HO</v>
      </c>
      <c r="E22" s="114"/>
      <c r="F22" s="115" t="s">
        <v>139</v>
      </c>
      <c r="G22" s="122"/>
      <c r="H22" s="114"/>
      <c r="I22" s="118"/>
      <c r="J22" s="118"/>
      <c r="K22" s="118"/>
      <c r="L22" s="118"/>
      <c r="M22" s="118"/>
      <c r="N22" s="118"/>
      <c r="O22" s="118"/>
      <c r="P22" s="116"/>
      <c r="Q22" s="114">
        <f>'II rok'!P58</f>
        <v>15</v>
      </c>
      <c r="R22" s="118">
        <f>'II rok'!Q58</f>
        <v>10</v>
      </c>
      <c r="S22" s="118"/>
      <c r="T22" s="118"/>
      <c r="U22" s="118"/>
      <c r="V22" s="118"/>
      <c r="W22" s="118"/>
      <c r="X22" s="118"/>
      <c r="Y22" s="116">
        <f>'II rok'!X58</f>
        <v>1</v>
      </c>
      <c r="Z22" s="117">
        <f>'II rok'!Y58</f>
        <v>15</v>
      </c>
      <c r="AA22" s="118">
        <f>'II rok'!Z58</f>
        <v>15</v>
      </c>
      <c r="AB22" s="118"/>
      <c r="AC22" s="118"/>
      <c r="AD22" s="118"/>
      <c r="AE22" s="118">
        <f>'II rok'!AD58</f>
        <v>25</v>
      </c>
      <c r="AF22" s="118">
        <f>'II rok'!AE58</f>
        <v>1</v>
      </c>
    </row>
    <row r="23" spans="1:32" ht="24.75" customHeight="1">
      <c r="A23" s="794" t="s">
        <v>144</v>
      </c>
      <c r="B23" s="804" t="str">
        <f>'III rok'!A42</f>
        <v>* Zajęcia fakultatywne (student wybiera w 5 semestrze 4 z 5 (2 w formie wykładowej i 2 w formie ćwiczeniowej); w 6 semestrze 3 z 4)</v>
      </c>
      <c r="C23" s="805"/>
      <c r="D23" s="805"/>
      <c r="E23" s="805"/>
      <c r="F23" s="805"/>
      <c r="G23" s="805"/>
      <c r="H23" s="832"/>
      <c r="I23" s="832"/>
      <c r="J23" s="832"/>
      <c r="K23" s="832"/>
      <c r="L23" s="832"/>
      <c r="M23" s="832"/>
      <c r="N23" s="832"/>
      <c r="O23" s="832"/>
      <c r="P23" s="832"/>
      <c r="Q23" s="832"/>
      <c r="R23" s="832"/>
      <c r="S23" s="832"/>
      <c r="T23" s="832"/>
      <c r="U23" s="832"/>
      <c r="V23" s="832"/>
      <c r="W23" s="832"/>
      <c r="X23" s="832"/>
      <c r="Y23" s="832"/>
      <c r="Z23" s="832"/>
      <c r="AA23" s="832"/>
      <c r="AB23" s="832"/>
      <c r="AC23" s="832"/>
      <c r="AD23" s="832"/>
      <c r="AE23" s="832"/>
      <c r="AF23" s="833"/>
    </row>
    <row r="24" spans="1:32" ht="24.75" customHeight="1">
      <c r="A24" s="794"/>
      <c r="B24" s="118" t="s">
        <v>136</v>
      </c>
      <c r="C24" s="112" t="str">
        <f>'III rok'!B44</f>
        <v>Patofizjologia nerek</v>
      </c>
      <c r="D24" s="113" t="str">
        <f>'III rok'!C44</f>
        <v>0912-7LEK-F-16-PN</v>
      </c>
      <c r="E24" s="114"/>
      <c r="F24" s="115">
        <f>'III rok'!E44</f>
        <v>5</v>
      </c>
      <c r="G24" s="116"/>
      <c r="H24" s="117">
        <f>'III rok'!G44</f>
        <v>15</v>
      </c>
      <c r="I24" s="118">
        <f>'III rok'!H44</f>
        <v>10</v>
      </c>
      <c r="J24" s="118"/>
      <c r="K24" s="118"/>
      <c r="L24" s="118"/>
      <c r="M24" s="118"/>
      <c r="N24" s="118"/>
      <c r="O24" s="118"/>
      <c r="P24" s="116">
        <f>'III rok'!O44</f>
        <v>1</v>
      </c>
      <c r="Q24" s="117"/>
      <c r="R24" s="118"/>
      <c r="S24" s="118"/>
      <c r="T24" s="118"/>
      <c r="U24" s="118"/>
      <c r="V24" s="118"/>
      <c r="W24" s="118"/>
      <c r="X24" s="118"/>
      <c r="Y24" s="116"/>
      <c r="Z24" s="117">
        <f>'III rok'!Y44</f>
        <v>15</v>
      </c>
      <c r="AA24" s="118">
        <f>'III rok'!Z44</f>
        <v>15</v>
      </c>
      <c r="AB24" s="118"/>
      <c r="AC24" s="118"/>
      <c r="AD24" s="118"/>
      <c r="AE24" s="118">
        <f>'III rok'!AD44</f>
        <v>25</v>
      </c>
      <c r="AF24" s="118">
        <f>'III rok'!AE44</f>
        <v>1</v>
      </c>
    </row>
    <row r="25" spans="1:32" ht="24.75" customHeight="1">
      <c r="A25" s="794"/>
      <c r="B25" s="118" t="s">
        <v>137</v>
      </c>
      <c r="C25" s="112" t="str">
        <f>'III rok'!B45</f>
        <v xml:space="preserve">Patofizjologia trzustki </v>
      </c>
      <c r="D25" s="113" t="str">
        <f>'III rok'!C45</f>
        <v>0912-7LEK-F-17-PT</v>
      </c>
      <c r="E25" s="114"/>
      <c r="F25" s="115">
        <f>'III rok'!E45</f>
        <v>5</v>
      </c>
      <c r="G25" s="116"/>
      <c r="H25" s="117">
        <f>'III rok'!G45</f>
        <v>15</v>
      </c>
      <c r="I25" s="118">
        <f>'III rok'!H45</f>
        <v>10</v>
      </c>
      <c r="J25" s="118"/>
      <c r="K25" s="118"/>
      <c r="L25" s="118"/>
      <c r="M25" s="118"/>
      <c r="N25" s="118"/>
      <c r="O25" s="118"/>
      <c r="P25" s="116">
        <f>'III rok'!O45</f>
        <v>1</v>
      </c>
      <c r="Q25" s="117"/>
      <c r="R25" s="118"/>
      <c r="S25" s="118"/>
      <c r="T25" s="118"/>
      <c r="U25" s="118"/>
      <c r="V25" s="118"/>
      <c r="W25" s="118"/>
      <c r="X25" s="118"/>
      <c r="Y25" s="116"/>
      <c r="Z25" s="117">
        <f>'III rok'!Y45</f>
        <v>15</v>
      </c>
      <c r="AA25" s="118">
        <f>'III rok'!Z45</f>
        <v>15</v>
      </c>
      <c r="AB25" s="118"/>
      <c r="AC25" s="118"/>
      <c r="AD25" s="118"/>
      <c r="AE25" s="118">
        <f>'III rok'!AD45</f>
        <v>25</v>
      </c>
      <c r="AF25" s="118">
        <f>'III rok'!AE45</f>
        <v>1</v>
      </c>
    </row>
    <row r="26" spans="1:32" ht="24.75" customHeight="1">
      <c r="A26" s="794"/>
      <c r="B26" s="118" t="s">
        <v>138</v>
      </c>
      <c r="C26" s="112" t="str">
        <f>'III rok'!B48</f>
        <v>Interwencja kryzysowa
 (przedmiot realizowany w formie ćwiczeń)</v>
      </c>
      <c r="D26" s="113" t="str">
        <f>'III rok'!C48</f>
        <v>0912-7LEK-F-20-IK</v>
      </c>
      <c r="E26" s="114"/>
      <c r="F26" s="115">
        <f>'III rok'!E48</f>
        <v>5</v>
      </c>
      <c r="G26" s="116"/>
      <c r="H26" s="117"/>
      <c r="I26" s="118"/>
      <c r="J26" s="118">
        <f>'III rok'!I48</f>
        <v>15</v>
      </c>
      <c r="K26" s="118">
        <f>'III rok'!J48</f>
        <v>10</v>
      </c>
      <c r="L26" s="118"/>
      <c r="M26" s="118"/>
      <c r="N26" s="118"/>
      <c r="O26" s="118"/>
      <c r="P26" s="116">
        <f>'III rok'!O48</f>
        <v>1</v>
      </c>
      <c r="Q26" s="117"/>
      <c r="R26" s="118"/>
      <c r="S26" s="118"/>
      <c r="T26" s="118"/>
      <c r="U26" s="118"/>
      <c r="V26" s="118"/>
      <c r="W26" s="118"/>
      <c r="X26" s="118"/>
      <c r="Y26" s="116"/>
      <c r="Z26" s="117">
        <f>'III rok'!Y48</f>
        <v>15</v>
      </c>
      <c r="AA26" s="118">
        <f>'III rok'!Z48</f>
        <v>0</v>
      </c>
      <c r="AB26" s="118">
        <f>'III rok'!AA48</f>
        <v>15</v>
      </c>
      <c r="AC26" s="118"/>
      <c r="AD26" s="118"/>
      <c r="AE26" s="118">
        <f>'III rok'!AD48</f>
        <v>25</v>
      </c>
      <c r="AF26" s="118">
        <f>'III rok'!AE48</f>
        <v>1</v>
      </c>
    </row>
    <row r="27" spans="1:32" ht="24.75" customHeight="1">
      <c r="A27" s="794"/>
      <c r="B27" s="118" t="s">
        <v>146</v>
      </c>
      <c r="C27" s="112" t="str">
        <f>'III rok'!B49</f>
        <v>Język migowy 
 (przedmiot realizowany w formie ćwiczeń)</v>
      </c>
      <c r="D27" s="113" t="str">
        <f>'III rok'!C49</f>
        <v>0912-7LEK-F-21-JM</v>
      </c>
      <c r="E27" s="114"/>
      <c r="F27" s="115">
        <f>'III rok'!E49</f>
        <v>5</v>
      </c>
      <c r="G27" s="116"/>
      <c r="H27" s="117"/>
      <c r="I27" s="118"/>
      <c r="J27" s="118">
        <f>'III rok'!I49</f>
        <v>15</v>
      </c>
      <c r="K27" s="118">
        <f>'III rok'!J49</f>
        <v>10</v>
      </c>
      <c r="L27" s="118"/>
      <c r="M27" s="118"/>
      <c r="N27" s="118"/>
      <c r="O27" s="118"/>
      <c r="P27" s="116">
        <f>'III rok'!O49</f>
        <v>1</v>
      </c>
      <c r="Q27" s="117"/>
      <c r="R27" s="118"/>
      <c r="S27" s="118"/>
      <c r="T27" s="118"/>
      <c r="U27" s="118"/>
      <c r="V27" s="118"/>
      <c r="W27" s="118"/>
      <c r="X27" s="118"/>
      <c r="Y27" s="116"/>
      <c r="Z27" s="117">
        <f>'III rok'!Y49</f>
        <v>15</v>
      </c>
      <c r="AA27" s="118">
        <f>'III rok'!Z49</f>
        <v>0</v>
      </c>
      <c r="AB27" s="118">
        <f>'III rok'!AA49</f>
        <v>15</v>
      </c>
      <c r="AC27" s="118"/>
      <c r="AD27" s="118"/>
      <c r="AE27" s="118">
        <f>'III rok'!AD49</f>
        <v>25</v>
      </c>
      <c r="AF27" s="118">
        <f>'III rok'!AE49</f>
        <v>1</v>
      </c>
    </row>
    <row r="28" spans="1:32" ht="24.75" customHeight="1">
      <c r="A28" s="794"/>
      <c r="B28" s="118" t="s">
        <v>147</v>
      </c>
      <c r="C28" s="112" t="str">
        <f>'III rok'!B50</f>
        <v>Biologia molekularna w medycynie</v>
      </c>
      <c r="D28" s="113" t="str">
        <f>'III rok'!C50</f>
        <v>0912-7LEK-F-22-BM</v>
      </c>
      <c r="E28" s="114"/>
      <c r="F28" s="115">
        <f>'III rok'!E50</f>
        <v>6</v>
      </c>
      <c r="G28" s="116"/>
      <c r="H28" s="117"/>
      <c r="I28" s="118"/>
      <c r="J28" s="118"/>
      <c r="K28" s="118"/>
      <c r="L28" s="118"/>
      <c r="M28" s="118"/>
      <c r="N28" s="118"/>
      <c r="O28" s="118"/>
      <c r="P28" s="116">
        <f>'III rok'!O50</f>
        <v>0</v>
      </c>
      <c r="Q28" s="117">
        <f>'III rok'!P50</f>
        <v>15</v>
      </c>
      <c r="R28" s="118">
        <f>'III rok'!Q50</f>
        <v>10</v>
      </c>
      <c r="S28" s="118"/>
      <c r="T28" s="118"/>
      <c r="U28" s="118"/>
      <c r="V28" s="118"/>
      <c r="W28" s="118"/>
      <c r="X28" s="118"/>
      <c r="Y28" s="116">
        <f>'III rok'!X50</f>
        <v>1</v>
      </c>
      <c r="Z28" s="117">
        <f>'III rok'!Y50</f>
        <v>15</v>
      </c>
      <c r="AA28" s="118">
        <f>'III rok'!Z50</f>
        <v>15</v>
      </c>
      <c r="AB28" s="118"/>
      <c r="AC28" s="118"/>
      <c r="AD28" s="118"/>
      <c r="AE28" s="118">
        <f>'III rok'!AD50</f>
        <v>25</v>
      </c>
      <c r="AF28" s="118">
        <f>'III rok'!AE50</f>
        <v>1</v>
      </c>
    </row>
    <row r="29" spans="1:32" ht="24.75" customHeight="1">
      <c r="A29" s="794"/>
      <c r="B29" s="118" t="s">
        <v>148</v>
      </c>
      <c r="C29" s="112" t="str">
        <f>'III rok'!B51</f>
        <v xml:space="preserve">Elektrofizjologia w kardiologii </v>
      </c>
      <c r="D29" s="113" t="str">
        <f>'III rok'!C51</f>
        <v>0912-7LEK-F-23-EK</v>
      </c>
      <c r="E29" s="114"/>
      <c r="F29" s="115">
        <f>'III rok'!E51</f>
        <v>6</v>
      </c>
      <c r="G29" s="116"/>
      <c r="H29" s="117"/>
      <c r="I29" s="118"/>
      <c r="J29" s="118"/>
      <c r="K29" s="118"/>
      <c r="L29" s="118"/>
      <c r="M29" s="118"/>
      <c r="N29" s="118"/>
      <c r="O29" s="118"/>
      <c r="P29" s="116">
        <f>'III rok'!O51</f>
        <v>0</v>
      </c>
      <c r="Q29" s="117">
        <f>'III rok'!P51</f>
        <v>15</v>
      </c>
      <c r="R29" s="118">
        <f>'III rok'!Q51</f>
        <v>10</v>
      </c>
      <c r="S29" s="118"/>
      <c r="T29" s="118"/>
      <c r="U29" s="118"/>
      <c r="V29" s="118"/>
      <c r="W29" s="118"/>
      <c r="X29" s="118"/>
      <c r="Y29" s="116">
        <f>'III rok'!X51</f>
        <v>1</v>
      </c>
      <c r="Z29" s="117">
        <f>'III rok'!Y51</f>
        <v>15</v>
      </c>
      <c r="AA29" s="118">
        <f>'III rok'!Z51</f>
        <v>15</v>
      </c>
      <c r="AB29" s="118"/>
      <c r="AC29" s="118"/>
      <c r="AD29" s="118"/>
      <c r="AE29" s="118">
        <f>'III rok'!AD51</f>
        <v>25</v>
      </c>
      <c r="AF29" s="118">
        <f>'III rok'!AE51</f>
        <v>1</v>
      </c>
    </row>
    <row r="30" spans="1:32" ht="24.75" customHeight="1">
      <c r="A30" s="794"/>
      <c r="B30" s="118" t="s">
        <v>149</v>
      </c>
      <c r="C30" s="112" t="str">
        <f>'III rok'!B52</f>
        <v>Patofizjologia układu endokrynnego</v>
      </c>
      <c r="D30" s="113" t="str">
        <f>'III rok'!C52</f>
        <v>0912-7LEK-F-24-PUE</v>
      </c>
      <c r="E30" s="114"/>
      <c r="F30" s="115">
        <f>'III rok'!E52</f>
        <v>6</v>
      </c>
      <c r="G30" s="116"/>
      <c r="H30" s="117"/>
      <c r="I30" s="118"/>
      <c r="J30" s="118"/>
      <c r="K30" s="118"/>
      <c r="L30" s="118"/>
      <c r="M30" s="118"/>
      <c r="N30" s="118"/>
      <c r="O30" s="118"/>
      <c r="P30" s="116">
        <f>'III rok'!O52</f>
        <v>0</v>
      </c>
      <c r="Q30" s="117">
        <f>'III rok'!P52</f>
        <v>15</v>
      </c>
      <c r="R30" s="118">
        <f>'III rok'!Q52</f>
        <v>10</v>
      </c>
      <c r="S30" s="118"/>
      <c r="T30" s="118"/>
      <c r="U30" s="118"/>
      <c r="V30" s="118"/>
      <c r="W30" s="118"/>
      <c r="X30" s="118"/>
      <c r="Y30" s="116">
        <f>'III rok'!X52</f>
        <v>1</v>
      </c>
      <c r="Z30" s="117">
        <f>'III rok'!Y52</f>
        <v>15</v>
      </c>
      <c r="AA30" s="118">
        <f>'III rok'!Z52</f>
        <v>15</v>
      </c>
      <c r="AB30" s="118"/>
      <c r="AC30" s="118"/>
      <c r="AD30" s="118"/>
      <c r="AE30" s="118">
        <f>'III rok'!AD52</f>
        <v>25</v>
      </c>
      <c r="AF30" s="118">
        <f>'III rok'!AE52</f>
        <v>1</v>
      </c>
    </row>
    <row r="31" spans="1:32" ht="24.75" customHeight="1">
      <c r="A31" s="794" t="s">
        <v>145</v>
      </c>
      <c r="B31" s="804" t="str">
        <f>'IV rok'!A43</f>
        <v>* Zajęcia fakultatywne ( student wybiera z grupy 9 przedmiotów: 3przedmioty w 7 semestrze oraz 3 przedmioty w 8 semestrze)</v>
      </c>
      <c r="C31" s="805"/>
      <c r="D31" s="805"/>
      <c r="E31" s="805"/>
      <c r="F31" s="805"/>
      <c r="G31" s="805"/>
      <c r="H31" s="805"/>
      <c r="I31" s="805"/>
      <c r="J31" s="805"/>
      <c r="K31" s="805"/>
      <c r="L31" s="805"/>
      <c r="M31" s="805"/>
      <c r="N31" s="805"/>
      <c r="O31" s="805"/>
      <c r="P31" s="805"/>
      <c r="Q31" s="805"/>
      <c r="R31" s="805"/>
      <c r="S31" s="805"/>
      <c r="T31" s="805"/>
      <c r="U31" s="805"/>
      <c r="V31" s="805"/>
      <c r="W31" s="805"/>
      <c r="X31" s="805"/>
      <c r="Y31" s="805"/>
      <c r="Z31" s="805"/>
      <c r="AA31" s="805"/>
      <c r="AB31" s="805"/>
      <c r="AC31" s="805"/>
      <c r="AD31" s="805"/>
      <c r="AE31" s="805"/>
      <c r="AF31" s="806"/>
    </row>
    <row r="32" spans="1:32" ht="24.75" customHeight="1">
      <c r="A32" s="794"/>
      <c r="B32" s="118" t="s">
        <v>188</v>
      </c>
      <c r="C32" s="112" t="str">
        <f>'IV rok'!B44</f>
        <v>Dermatologia pediatryczna</v>
      </c>
      <c r="D32" s="113" t="str">
        <f>'IV rok'!C44</f>
        <v>0912-7LEK-F26-D</v>
      </c>
      <c r="E32" s="114"/>
      <c r="F32" s="115">
        <f>'IV rok'!E44</f>
        <v>7</v>
      </c>
      <c r="G32" s="116"/>
      <c r="H32" s="117">
        <f>'IV rok'!G44</f>
        <v>15</v>
      </c>
      <c r="I32" s="118">
        <f>'IV rok'!H44</f>
        <v>10</v>
      </c>
      <c r="J32" s="118"/>
      <c r="K32" s="118"/>
      <c r="L32" s="118"/>
      <c r="M32" s="118"/>
      <c r="N32" s="118"/>
      <c r="O32" s="118"/>
      <c r="P32" s="116">
        <f>'IV rok'!O44</f>
        <v>1</v>
      </c>
      <c r="Q32" s="117"/>
      <c r="R32" s="118"/>
      <c r="S32" s="118"/>
      <c r="T32" s="118"/>
      <c r="U32" s="118"/>
      <c r="V32" s="118"/>
      <c r="W32" s="118"/>
      <c r="X32" s="118"/>
      <c r="Y32" s="116"/>
      <c r="Z32" s="117">
        <f>'IV rok'!Y44</f>
        <v>15</v>
      </c>
      <c r="AA32" s="118">
        <f>'IV rok'!Z44</f>
        <v>15</v>
      </c>
      <c r="AB32" s="118"/>
      <c r="AC32" s="118"/>
      <c r="AD32" s="118"/>
      <c r="AE32" s="118">
        <f>'IV rok'!AD44</f>
        <v>25</v>
      </c>
      <c r="AF32" s="118">
        <f>'IV rok'!AE44</f>
        <v>1</v>
      </c>
    </row>
    <row r="33" spans="1:32" ht="24.75" customHeight="1">
      <c r="A33" s="794"/>
      <c r="B33" s="118" t="s">
        <v>189</v>
      </c>
      <c r="C33" s="112" t="str">
        <f>'IV rok'!B45</f>
        <v>Farmakoekonomika</v>
      </c>
      <c r="D33" s="113" t="str">
        <f>'IV rok'!C45</f>
        <v>0912-7LEK-F27-F</v>
      </c>
      <c r="E33" s="114"/>
      <c r="F33" s="115">
        <f>'IV rok'!E45</f>
        <v>7</v>
      </c>
      <c r="G33" s="116"/>
      <c r="H33" s="117">
        <f>'IV rok'!G45</f>
        <v>15</v>
      </c>
      <c r="I33" s="118">
        <f>'IV rok'!H45</f>
        <v>10</v>
      </c>
      <c r="J33" s="118"/>
      <c r="K33" s="118"/>
      <c r="L33" s="118"/>
      <c r="M33" s="118"/>
      <c r="N33" s="118"/>
      <c r="O33" s="118"/>
      <c r="P33" s="116">
        <f>'IV rok'!O45</f>
        <v>1</v>
      </c>
      <c r="Q33" s="117"/>
      <c r="R33" s="118"/>
      <c r="S33" s="118"/>
      <c r="T33" s="118"/>
      <c r="U33" s="118"/>
      <c r="V33" s="118"/>
      <c r="W33" s="118"/>
      <c r="X33" s="118"/>
      <c r="Y33" s="116"/>
      <c r="Z33" s="117">
        <f>'IV rok'!Y45</f>
        <v>15</v>
      </c>
      <c r="AA33" s="118">
        <f>'IV rok'!Z45</f>
        <v>15</v>
      </c>
      <c r="AB33" s="118"/>
      <c r="AC33" s="118"/>
      <c r="AD33" s="118"/>
      <c r="AE33" s="118">
        <f>'IV rok'!AD45</f>
        <v>25</v>
      </c>
      <c r="AF33" s="118">
        <f>'IV rok'!AE45</f>
        <v>1</v>
      </c>
    </row>
    <row r="34" spans="1:32" ht="24.75" customHeight="1">
      <c r="A34" s="794"/>
      <c r="B34" s="118" t="s">
        <v>190</v>
      </c>
      <c r="C34" s="112" t="str">
        <f>'IV rok'!B46</f>
        <v>Zakażenia wirusami przenoszonymi drogą krwi</v>
      </c>
      <c r="D34" s="113" t="str">
        <f>'IV rok'!C46</f>
        <v>0912-7LEK-F28-Z</v>
      </c>
      <c r="E34" s="114"/>
      <c r="F34" s="115">
        <f>'IV rok'!E46</f>
        <v>7</v>
      </c>
      <c r="G34" s="116"/>
      <c r="H34" s="117">
        <f>'IV rok'!G46</f>
        <v>15</v>
      </c>
      <c r="I34" s="118">
        <f>'IV rok'!H46</f>
        <v>10</v>
      </c>
      <c r="J34" s="118"/>
      <c r="K34" s="118"/>
      <c r="L34" s="118"/>
      <c r="M34" s="118"/>
      <c r="N34" s="118"/>
      <c r="O34" s="118"/>
      <c r="P34" s="116">
        <f>'IV rok'!O46</f>
        <v>1</v>
      </c>
      <c r="Q34" s="117"/>
      <c r="R34" s="118"/>
      <c r="S34" s="118"/>
      <c r="T34" s="118"/>
      <c r="U34" s="118"/>
      <c r="V34" s="118"/>
      <c r="W34" s="118"/>
      <c r="X34" s="118"/>
      <c r="Y34" s="116"/>
      <c r="Z34" s="117">
        <f>'IV rok'!Y46</f>
        <v>15</v>
      </c>
      <c r="AA34" s="118">
        <f>'IV rok'!Z46</f>
        <v>15</v>
      </c>
      <c r="AB34" s="118"/>
      <c r="AC34" s="118"/>
      <c r="AD34" s="118"/>
      <c r="AE34" s="118">
        <f>'IV rok'!AD46</f>
        <v>25</v>
      </c>
      <c r="AF34" s="118">
        <f>'IV rok'!AE46</f>
        <v>1</v>
      </c>
    </row>
    <row r="35" spans="1:32" ht="24.75" customHeight="1">
      <c r="A35" s="794"/>
      <c r="B35" s="118" t="s">
        <v>191</v>
      </c>
      <c r="C35" s="112" t="str">
        <f>'IV rok'!B47</f>
        <v>Chirurgia endoskopowa i laparoskopowa</v>
      </c>
      <c r="D35" s="113" t="str">
        <f>'IV rok'!C47</f>
        <v>0912-7LEK-F29-C</v>
      </c>
      <c r="E35" s="114"/>
      <c r="F35" s="115">
        <f>'IV rok'!E47</f>
        <v>8</v>
      </c>
      <c r="G35" s="116"/>
      <c r="H35" s="117"/>
      <c r="I35" s="118"/>
      <c r="J35" s="118"/>
      <c r="K35" s="118"/>
      <c r="L35" s="118"/>
      <c r="M35" s="118"/>
      <c r="N35" s="118"/>
      <c r="O35" s="118"/>
      <c r="P35" s="116"/>
      <c r="Q35" s="117">
        <f>'IV rok'!P47</f>
        <v>15</v>
      </c>
      <c r="R35" s="118">
        <f>'IV rok'!Q47</f>
        <v>10</v>
      </c>
      <c r="S35" s="118"/>
      <c r="T35" s="118"/>
      <c r="U35" s="118"/>
      <c r="V35" s="118"/>
      <c r="W35" s="118"/>
      <c r="X35" s="118"/>
      <c r="Y35" s="116">
        <f>'IV rok'!X47</f>
        <v>0</v>
      </c>
      <c r="Z35" s="117">
        <f>'IV rok'!Y47</f>
        <v>15</v>
      </c>
      <c r="AA35" s="118">
        <f>'IV rok'!Z47</f>
        <v>15</v>
      </c>
      <c r="AB35" s="118"/>
      <c r="AC35" s="118"/>
      <c r="AD35" s="118"/>
      <c r="AE35" s="118">
        <f>'IV rok'!AD47</f>
        <v>25</v>
      </c>
      <c r="AF35" s="118">
        <f>'IV rok'!AE47</f>
        <v>1</v>
      </c>
    </row>
    <row r="36" spans="1:32" ht="24.75" customHeight="1">
      <c r="A36" s="794"/>
      <c r="B36" s="118" t="s">
        <v>200</v>
      </c>
      <c r="C36" s="112" t="str">
        <f>'IV rok'!B48</f>
        <v>Pediatria - kardiologia dziecięca</v>
      </c>
      <c r="D36" s="113" t="str">
        <f>'IV rok'!C48</f>
        <v>0912-7LEK-F30-P</v>
      </c>
      <c r="E36" s="114"/>
      <c r="F36" s="115">
        <f>'IV rok'!E48</f>
        <v>8</v>
      </c>
      <c r="G36" s="116"/>
      <c r="H36" s="117"/>
      <c r="I36" s="118"/>
      <c r="J36" s="118"/>
      <c r="K36" s="118"/>
      <c r="L36" s="118"/>
      <c r="M36" s="118"/>
      <c r="N36" s="118"/>
      <c r="O36" s="118"/>
      <c r="P36" s="116"/>
      <c r="Q36" s="117">
        <f>'IV rok'!P48</f>
        <v>15</v>
      </c>
      <c r="R36" s="118">
        <f>'IV rok'!Q48</f>
        <v>10</v>
      </c>
      <c r="S36" s="118"/>
      <c r="T36" s="118"/>
      <c r="U36" s="118"/>
      <c r="V36" s="118"/>
      <c r="W36" s="118"/>
      <c r="X36" s="118"/>
      <c r="Y36" s="116">
        <f>'IV rok'!X48</f>
        <v>1</v>
      </c>
      <c r="Z36" s="117">
        <f>'IV rok'!Y48</f>
        <v>15</v>
      </c>
      <c r="AA36" s="118">
        <f>'IV rok'!Z48</f>
        <v>15</v>
      </c>
      <c r="AB36" s="118"/>
      <c r="AC36" s="118"/>
      <c r="AD36" s="118"/>
      <c r="AE36" s="118">
        <f>'IV rok'!AD48</f>
        <v>25</v>
      </c>
      <c r="AF36" s="118">
        <f>'IV rok'!AE48</f>
        <v>1</v>
      </c>
    </row>
    <row r="37" spans="1:32" ht="24.75" customHeight="1">
      <c r="A37" s="794"/>
      <c r="B37" s="118" t="s">
        <v>201</v>
      </c>
      <c r="C37" s="213" t="str">
        <f>'IV rok'!B49</f>
        <v>Terapia bólu</v>
      </c>
      <c r="D37" s="113" t="str">
        <f>'IV rok'!C49</f>
        <v>0912-7LEK-D-T</v>
      </c>
      <c r="E37" s="114"/>
      <c r="F37" s="115">
        <f>'IV rok'!E49</f>
        <v>8</v>
      </c>
      <c r="G37" s="116"/>
      <c r="H37" s="117"/>
      <c r="I37" s="118"/>
      <c r="J37" s="118"/>
      <c r="K37" s="118"/>
      <c r="L37" s="118"/>
      <c r="M37" s="118"/>
      <c r="N37" s="118"/>
      <c r="O37" s="118"/>
      <c r="P37" s="116"/>
      <c r="Q37" s="117">
        <f>'IV rok'!P49</f>
        <v>15</v>
      </c>
      <c r="R37" s="118">
        <f>'IV rok'!Q49</f>
        <v>10</v>
      </c>
      <c r="S37" s="118"/>
      <c r="T37" s="118"/>
      <c r="U37" s="118"/>
      <c r="V37" s="118"/>
      <c r="W37" s="118"/>
      <c r="X37" s="118"/>
      <c r="Y37" s="116">
        <f>'IV rok'!X49</f>
        <v>1</v>
      </c>
      <c r="Z37" s="117">
        <f>'IV rok'!Y49</f>
        <v>15</v>
      </c>
      <c r="AA37" s="118">
        <f>'IV rok'!Z49</f>
        <v>15</v>
      </c>
      <c r="AB37" s="118"/>
      <c r="AC37" s="118"/>
      <c r="AD37" s="118"/>
      <c r="AE37" s="118">
        <f>'IV rok'!AD49</f>
        <v>25</v>
      </c>
      <c r="AF37" s="118">
        <f>'IV rok'!AE49</f>
        <v>1</v>
      </c>
    </row>
    <row r="38" spans="1:32" ht="24.75" customHeight="1">
      <c r="A38" s="794"/>
      <c r="B38" s="118" t="s">
        <v>202</v>
      </c>
      <c r="C38" s="112" t="str">
        <f>'IV rok'!B50</f>
        <v>Choroby płuc</v>
      </c>
      <c r="D38" s="113" t="str">
        <f>'IV rok'!C50</f>
        <v>0912-7LEK-F-CP</v>
      </c>
      <c r="E38" s="114"/>
      <c r="F38" s="115">
        <f>'IV rok'!E50</f>
        <v>8</v>
      </c>
      <c r="G38" s="116"/>
      <c r="H38" s="117"/>
      <c r="I38" s="118"/>
      <c r="J38" s="118"/>
      <c r="K38" s="118"/>
      <c r="L38" s="118"/>
      <c r="M38" s="118"/>
      <c r="N38" s="118"/>
      <c r="O38" s="118"/>
      <c r="P38" s="116"/>
      <c r="Q38" s="117">
        <f>'IV rok'!P50</f>
        <v>15</v>
      </c>
      <c r="R38" s="118">
        <f>'IV rok'!Q50</f>
        <v>10</v>
      </c>
      <c r="S38" s="118"/>
      <c r="T38" s="118"/>
      <c r="U38" s="118"/>
      <c r="V38" s="118"/>
      <c r="W38" s="118"/>
      <c r="X38" s="118"/>
      <c r="Y38" s="116">
        <f>'IV rok'!X50</f>
        <v>1</v>
      </c>
      <c r="Z38" s="117">
        <f>'IV rok'!Y50</f>
        <v>15</v>
      </c>
      <c r="AA38" s="118">
        <f>'IV rok'!Z50</f>
        <v>15</v>
      </c>
      <c r="AB38" s="118"/>
      <c r="AC38" s="118"/>
      <c r="AD38" s="118"/>
      <c r="AE38" s="118">
        <f>'IV rok'!AD50</f>
        <v>25</v>
      </c>
      <c r="AF38" s="118">
        <f>'IV rok'!AE50</f>
        <v>1</v>
      </c>
    </row>
    <row r="39" spans="1:32" ht="24.75" customHeight="1">
      <c r="A39" s="794"/>
      <c r="B39" s="118" t="s">
        <v>203</v>
      </c>
      <c r="C39" s="112" t="str">
        <f>'IV rok'!B51</f>
        <v>Chirurgia naczyniowa</v>
      </c>
      <c r="D39" s="113" t="str">
        <f>'IV rok'!C51</f>
        <v>0912-7LEK-F-CN</v>
      </c>
      <c r="E39" s="114"/>
      <c r="F39" s="115">
        <f>'IV rok'!E51</f>
        <v>8</v>
      </c>
      <c r="G39" s="116"/>
      <c r="H39" s="117"/>
      <c r="I39" s="118"/>
      <c r="J39" s="118"/>
      <c r="K39" s="118"/>
      <c r="L39" s="118"/>
      <c r="M39" s="118"/>
      <c r="N39" s="118"/>
      <c r="O39" s="118"/>
      <c r="P39" s="116"/>
      <c r="Q39" s="117">
        <f>'IV rok'!P51</f>
        <v>15</v>
      </c>
      <c r="R39" s="118">
        <f>'IV rok'!Q51</f>
        <v>10</v>
      </c>
      <c r="S39" s="118"/>
      <c r="T39" s="118"/>
      <c r="U39" s="118"/>
      <c r="V39" s="118"/>
      <c r="W39" s="118"/>
      <c r="X39" s="118"/>
      <c r="Y39" s="116">
        <f>'IV rok'!X51</f>
        <v>1</v>
      </c>
      <c r="Z39" s="117">
        <f>'IV rok'!Y51</f>
        <v>15</v>
      </c>
      <c r="AA39" s="118">
        <f>'IV rok'!Z51</f>
        <v>15</v>
      </c>
      <c r="AB39" s="118"/>
      <c r="AC39" s="118"/>
      <c r="AD39" s="118"/>
      <c r="AE39" s="118">
        <f>'IV rok'!AD51</f>
        <v>25</v>
      </c>
      <c r="AF39" s="118">
        <f>'IV rok'!AE51</f>
        <v>1</v>
      </c>
    </row>
    <row r="40" spans="1:32" ht="24.75" customHeight="1">
      <c r="A40" s="794"/>
      <c r="B40" s="118" t="s">
        <v>245</v>
      </c>
      <c r="C40" s="213" t="str">
        <f>'IV rok'!B52</f>
        <v>Diagnostyka kliniczna</v>
      </c>
      <c r="D40" s="113" t="str">
        <f>'IV rok'!C52</f>
        <v>0912-7LEK-F-DK</v>
      </c>
      <c r="E40" s="114"/>
      <c r="F40" s="115">
        <f>'IV rok'!E52</f>
        <v>8</v>
      </c>
      <c r="G40" s="116"/>
      <c r="H40" s="117"/>
      <c r="I40" s="118"/>
      <c r="J40" s="118"/>
      <c r="K40" s="118"/>
      <c r="L40" s="118"/>
      <c r="M40" s="118"/>
      <c r="N40" s="118"/>
      <c r="O40" s="118"/>
      <c r="P40" s="116"/>
      <c r="Q40" s="117">
        <f>'IV rok'!P52</f>
        <v>0</v>
      </c>
      <c r="R40" s="118">
        <f>'IV rok'!Q52</f>
        <v>0</v>
      </c>
      <c r="S40" s="118"/>
      <c r="T40" s="118"/>
      <c r="U40" s="118"/>
      <c r="V40" s="118"/>
      <c r="W40" s="118"/>
      <c r="X40" s="118"/>
      <c r="Y40" s="116">
        <f>'IV rok'!X52</f>
        <v>0</v>
      </c>
      <c r="Z40" s="117">
        <f>'IV rok'!Y52</f>
        <v>15</v>
      </c>
      <c r="AA40" s="118">
        <f>'IV rok'!Z52</f>
        <v>15</v>
      </c>
      <c r="AB40" s="118"/>
      <c r="AC40" s="118"/>
      <c r="AD40" s="118"/>
      <c r="AE40" s="118">
        <f>'IV rok'!AD52</f>
        <v>25</v>
      </c>
      <c r="AF40" s="118">
        <f>'IV rok'!AE52</f>
        <v>1</v>
      </c>
    </row>
    <row r="41" spans="1:32" ht="24.75" customHeight="1">
      <c r="A41" s="801" t="s">
        <v>158</v>
      </c>
      <c r="B41" s="829" t="str">
        <f>'V rok'!A51</f>
        <v>* Zajęcia fakultatywne (student wybiera z grupy 22 przedmiotów: 2 przedmioty w 9 semestrze oraz 1 przedmiot w 10 semestrze )</v>
      </c>
      <c r="C41" s="830"/>
      <c r="D41" s="830"/>
      <c r="E41" s="830"/>
      <c r="F41" s="830"/>
      <c r="G41" s="830"/>
      <c r="H41" s="830"/>
      <c r="I41" s="830"/>
      <c r="J41" s="830"/>
      <c r="K41" s="830"/>
      <c r="L41" s="830"/>
      <c r="M41" s="830"/>
      <c r="N41" s="830"/>
      <c r="O41" s="830"/>
      <c r="P41" s="830"/>
      <c r="Q41" s="830"/>
      <c r="R41" s="830"/>
      <c r="S41" s="830"/>
      <c r="T41" s="830"/>
      <c r="U41" s="830"/>
      <c r="V41" s="830"/>
      <c r="W41" s="830"/>
      <c r="X41" s="830"/>
      <c r="Y41" s="830"/>
      <c r="Z41" s="830"/>
      <c r="AA41" s="830"/>
      <c r="AB41" s="830"/>
      <c r="AC41" s="830"/>
      <c r="AD41" s="830"/>
      <c r="AE41" s="830"/>
      <c r="AF41" s="831"/>
    </row>
    <row r="42" spans="1:32" ht="24.75" customHeight="1">
      <c r="A42" s="802"/>
      <c r="B42" s="118" t="s">
        <v>204</v>
      </c>
      <c r="C42" s="213" t="str">
        <f>'V rok'!B52</f>
        <v>Hipertensjologia</v>
      </c>
      <c r="D42" s="113" t="str">
        <f>'V rok'!C52</f>
        <v>0912-7LEK-F38-H</v>
      </c>
      <c r="E42" s="114"/>
      <c r="F42" s="115">
        <f>'V rok'!E52</f>
        <v>9</v>
      </c>
      <c r="G42" s="116"/>
      <c r="H42" s="117">
        <f>'V rok'!G52</f>
        <v>15</v>
      </c>
      <c r="I42" s="118">
        <f>'V rok'!H52</f>
        <v>10</v>
      </c>
      <c r="J42" s="118">
        <f>'V rok'!I52</f>
        <v>15</v>
      </c>
      <c r="K42" s="118">
        <f>'V rok'!J52</f>
        <v>10</v>
      </c>
      <c r="L42" s="118"/>
      <c r="M42" s="118"/>
      <c r="N42" s="118"/>
      <c r="O42" s="118"/>
      <c r="P42" s="116">
        <f>'V rok'!O52</f>
        <v>2</v>
      </c>
      <c r="Q42" s="117"/>
      <c r="R42" s="118"/>
      <c r="S42" s="118"/>
      <c r="T42" s="118"/>
      <c r="U42" s="118"/>
      <c r="V42" s="118"/>
      <c r="W42" s="118"/>
      <c r="X42" s="118"/>
      <c r="Y42" s="116"/>
      <c r="Z42" s="117">
        <f>'V rok'!Y52</f>
        <v>30</v>
      </c>
      <c r="AA42" s="118">
        <f>'V rok'!Z52</f>
        <v>15</v>
      </c>
      <c r="AB42" s="118">
        <f>'V rok'!AA52</f>
        <v>15</v>
      </c>
      <c r="AC42" s="118"/>
      <c r="AD42" s="118"/>
      <c r="AE42" s="118">
        <f>'V rok'!AD52</f>
        <v>50</v>
      </c>
      <c r="AF42" s="118">
        <f>'V rok'!AE52</f>
        <v>2</v>
      </c>
    </row>
    <row r="43" spans="1:32" ht="24.75" customHeight="1">
      <c r="A43" s="802"/>
      <c r="B43" s="118" t="s">
        <v>205</v>
      </c>
      <c r="C43" s="112" t="str">
        <f>'V rok'!B53</f>
        <v>Gastroenterologia dziecięca</v>
      </c>
      <c r="D43" s="113" t="str">
        <f>'V rok'!C53</f>
        <v>0912-7LEK-F39-G</v>
      </c>
      <c r="E43" s="114"/>
      <c r="F43" s="115">
        <f>'V rok'!E53</f>
        <v>9</v>
      </c>
      <c r="G43" s="116"/>
      <c r="H43" s="117">
        <f>'V rok'!G53</f>
        <v>15</v>
      </c>
      <c r="I43" s="118">
        <f>'V rok'!H53</f>
        <v>10</v>
      </c>
      <c r="J43" s="118">
        <f>'V rok'!I53</f>
        <v>15</v>
      </c>
      <c r="K43" s="118">
        <f>'V rok'!J53</f>
        <v>10</v>
      </c>
      <c r="L43" s="118"/>
      <c r="M43" s="118"/>
      <c r="N43" s="118"/>
      <c r="O43" s="118"/>
      <c r="P43" s="116">
        <f>'V rok'!O53</f>
        <v>2</v>
      </c>
      <c r="Q43" s="117"/>
      <c r="R43" s="118"/>
      <c r="S43" s="118"/>
      <c r="T43" s="118"/>
      <c r="U43" s="118"/>
      <c r="V43" s="118"/>
      <c r="W43" s="118"/>
      <c r="X43" s="118"/>
      <c r="Y43" s="116"/>
      <c r="Z43" s="117">
        <f>'V rok'!Y53</f>
        <v>30</v>
      </c>
      <c r="AA43" s="118">
        <f>'V rok'!Z53</f>
        <v>15</v>
      </c>
      <c r="AB43" s="118">
        <f>'V rok'!AA53</f>
        <v>15</v>
      </c>
      <c r="AC43" s="118"/>
      <c r="AD43" s="118"/>
      <c r="AE43" s="118">
        <f>'V rok'!AD53</f>
        <v>50</v>
      </c>
      <c r="AF43" s="118">
        <f>'V rok'!AE53</f>
        <v>2</v>
      </c>
    </row>
    <row r="44" spans="1:32" ht="24.75" customHeight="1">
      <c r="A44" s="802"/>
      <c r="B44" s="118" t="s">
        <v>206</v>
      </c>
      <c r="C44" s="213" t="str">
        <f>'V rok'!B54</f>
        <v>Alergologia</v>
      </c>
      <c r="D44" s="113" t="str">
        <f>'V rok'!C54</f>
        <v>0912-7LEK-F40-A</v>
      </c>
      <c r="E44" s="114"/>
      <c r="F44" s="115">
        <f>'V rok'!E54</f>
        <v>9</v>
      </c>
      <c r="G44" s="116"/>
      <c r="H44" s="117">
        <f>'V rok'!G54</f>
        <v>15</v>
      </c>
      <c r="I44" s="118">
        <f>'V rok'!H54</f>
        <v>10</v>
      </c>
      <c r="J44" s="118">
        <f>'V rok'!I54</f>
        <v>15</v>
      </c>
      <c r="K44" s="118">
        <f>'V rok'!J54</f>
        <v>10</v>
      </c>
      <c r="L44" s="118"/>
      <c r="M44" s="118"/>
      <c r="N44" s="118"/>
      <c r="O44" s="118"/>
      <c r="P44" s="116">
        <f>'V rok'!O54</f>
        <v>2</v>
      </c>
      <c r="Q44" s="117"/>
      <c r="R44" s="118"/>
      <c r="S44" s="118"/>
      <c r="T44" s="118"/>
      <c r="U44" s="118"/>
      <c r="V44" s="118"/>
      <c r="W44" s="118"/>
      <c r="X44" s="118"/>
      <c r="Y44" s="116"/>
      <c r="Z44" s="117">
        <f>'V rok'!Y54</f>
        <v>30</v>
      </c>
      <c r="AA44" s="118">
        <f>'V rok'!Z54</f>
        <v>15</v>
      </c>
      <c r="AB44" s="118">
        <f>'V rok'!AA54</f>
        <v>15</v>
      </c>
      <c r="AC44" s="118"/>
      <c r="AD44" s="118"/>
      <c r="AE44" s="118">
        <f>'V rok'!AD54</f>
        <v>50</v>
      </c>
      <c r="AF44" s="118">
        <f>'V rok'!AE54</f>
        <v>2</v>
      </c>
    </row>
    <row r="45" spans="1:32" ht="24.75" customHeight="1">
      <c r="A45" s="802"/>
      <c r="B45" s="118" t="s">
        <v>207</v>
      </c>
      <c r="C45" s="112" t="str">
        <f>'V rok'!B55</f>
        <v>Kardiologia interwencyjna</v>
      </c>
      <c r="D45" s="113" t="str">
        <f>'V rok'!C55</f>
        <v>0912-7LEK-F41-K</v>
      </c>
      <c r="E45" s="114"/>
      <c r="F45" s="115">
        <f>'V rok'!E55</f>
        <v>9</v>
      </c>
      <c r="G45" s="116"/>
      <c r="H45" s="117">
        <f>'V rok'!G55</f>
        <v>15</v>
      </c>
      <c r="I45" s="118">
        <f>'V rok'!H55</f>
        <v>10</v>
      </c>
      <c r="J45" s="118">
        <f>'V rok'!I55</f>
        <v>15</v>
      </c>
      <c r="K45" s="118">
        <f>'V rok'!J55</f>
        <v>10</v>
      </c>
      <c r="L45" s="118"/>
      <c r="M45" s="118"/>
      <c r="N45" s="118"/>
      <c r="O45" s="118"/>
      <c r="P45" s="116">
        <f>'V rok'!O55</f>
        <v>2</v>
      </c>
      <c r="Q45" s="117"/>
      <c r="R45" s="118"/>
      <c r="S45" s="118"/>
      <c r="T45" s="118"/>
      <c r="U45" s="118"/>
      <c r="V45" s="118"/>
      <c r="W45" s="118"/>
      <c r="X45" s="118"/>
      <c r="Y45" s="116"/>
      <c r="Z45" s="117">
        <f>'V rok'!Y55</f>
        <v>30</v>
      </c>
      <c r="AA45" s="118">
        <f>'V rok'!Z55</f>
        <v>15</v>
      </c>
      <c r="AB45" s="118">
        <f>'V rok'!AA55</f>
        <v>15</v>
      </c>
      <c r="AC45" s="118"/>
      <c r="AD45" s="118"/>
      <c r="AE45" s="118">
        <f>'V rok'!AD55</f>
        <v>50</v>
      </c>
      <c r="AF45" s="118">
        <f>'V rok'!AE55</f>
        <v>2</v>
      </c>
    </row>
    <row r="46" spans="1:32" ht="24.75" customHeight="1">
      <c r="A46" s="802"/>
      <c r="B46" s="118" t="s">
        <v>208</v>
      </c>
      <c r="C46" s="112" t="str">
        <f>'V rok'!B56</f>
        <v>Żywienie kliniczne</v>
      </c>
      <c r="D46" s="113" t="str">
        <f>'V rok'!C56</f>
        <v>0912-7LEK-F42-Ż</v>
      </c>
      <c r="E46" s="114"/>
      <c r="F46" s="115">
        <f>'V rok'!E56</f>
        <v>10</v>
      </c>
      <c r="G46" s="116"/>
      <c r="H46" s="117">
        <f>'V rok'!G56</f>
        <v>0</v>
      </c>
      <c r="I46" s="118">
        <f>'V rok'!H56</f>
        <v>0</v>
      </c>
      <c r="J46" s="118">
        <f>'V rok'!I56</f>
        <v>0</v>
      </c>
      <c r="K46" s="118">
        <f>'V rok'!J56</f>
        <v>0</v>
      </c>
      <c r="L46" s="118"/>
      <c r="M46" s="118"/>
      <c r="N46" s="118"/>
      <c r="O46" s="118"/>
      <c r="P46" s="116">
        <f>'V rok'!O56</f>
        <v>0</v>
      </c>
      <c r="Q46" s="117"/>
      <c r="R46" s="118"/>
      <c r="S46" s="118"/>
      <c r="T46" s="118"/>
      <c r="U46" s="118"/>
      <c r="V46" s="118"/>
      <c r="W46" s="118"/>
      <c r="X46" s="118"/>
      <c r="Y46" s="116"/>
      <c r="Z46" s="117">
        <f>'V rok'!Y56</f>
        <v>15</v>
      </c>
      <c r="AA46" s="118">
        <f>'V rok'!Z56</f>
        <v>15</v>
      </c>
      <c r="AB46" s="118">
        <f>'V rok'!AA56</f>
        <v>0</v>
      </c>
      <c r="AC46" s="118"/>
      <c r="AD46" s="118"/>
      <c r="AE46" s="118">
        <f>'V rok'!AD56</f>
        <v>25</v>
      </c>
      <c r="AF46" s="118">
        <f>'V rok'!AE56</f>
        <v>1</v>
      </c>
    </row>
    <row r="47" spans="1:32" ht="24.75" customHeight="1">
      <c r="A47" s="802"/>
      <c r="B47" s="118" t="s">
        <v>209</v>
      </c>
      <c r="C47" s="112" t="str">
        <f>'V rok'!B57</f>
        <v>Anastezjologia i intensywna terapia dziecięca</v>
      </c>
      <c r="D47" s="113" t="str">
        <f>'V rok'!C57</f>
        <v>0912-7LEK-F43-A</v>
      </c>
      <c r="E47" s="114"/>
      <c r="F47" s="115">
        <f>'V rok'!E57</f>
        <v>9</v>
      </c>
      <c r="G47" s="116"/>
      <c r="H47" s="117">
        <f>'V rok'!G57</f>
        <v>15</v>
      </c>
      <c r="I47" s="118">
        <f>'V rok'!H57</f>
        <v>10</v>
      </c>
      <c r="J47" s="118">
        <f>'V rok'!I57</f>
        <v>15</v>
      </c>
      <c r="K47" s="118">
        <f>'V rok'!J57</f>
        <v>10</v>
      </c>
      <c r="L47" s="118"/>
      <c r="M47" s="118"/>
      <c r="N47" s="118"/>
      <c r="O47" s="118"/>
      <c r="P47" s="116">
        <f>'V rok'!O57</f>
        <v>2</v>
      </c>
      <c r="Q47" s="117"/>
      <c r="R47" s="118"/>
      <c r="S47" s="118"/>
      <c r="T47" s="118"/>
      <c r="U47" s="118"/>
      <c r="V47" s="118"/>
      <c r="W47" s="118"/>
      <c r="X47" s="118"/>
      <c r="Y47" s="116"/>
      <c r="Z47" s="117">
        <f>'V rok'!Y57</f>
        <v>30</v>
      </c>
      <c r="AA47" s="118">
        <f>'V rok'!Z57</f>
        <v>15</v>
      </c>
      <c r="AB47" s="118">
        <f>'V rok'!AA57</f>
        <v>15</v>
      </c>
      <c r="AC47" s="118"/>
      <c r="AD47" s="118"/>
      <c r="AE47" s="118">
        <f>'V rok'!AD57</f>
        <v>50</v>
      </c>
      <c r="AF47" s="118">
        <f>'V rok'!AE57</f>
        <v>2</v>
      </c>
    </row>
    <row r="48" spans="1:32" ht="24.75" customHeight="1">
      <c r="A48" s="802"/>
      <c r="B48" s="118" t="s">
        <v>210</v>
      </c>
      <c r="C48" s="112" t="str">
        <f>'V rok'!B58</f>
        <v>Leczenie skojarzone</v>
      </c>
      <c r="D48" s="113" t="str">
        <f>'V rok'!C58</f>
        <v>0912-7LEK-F44-L</v>
      </c>
      <c r="E48" s="114"/>
      <c r="F48" s="115">
        <f>'V rok'!E58</f>
        <v>10</v>
      </c>
      <c r="G48" s="116"/>
      <c r="H48" s="117">
        <f>'V rok'!G58</f>
        <v>0</v>
      </c>
      <c r="I48" s="118">
        <f>'V rok'!H58</f>
        <v>0</v>
      </c>
      <c r="J48" s="118">
        <f>'V rok'!I58</f>
        <v>0</v>
      </c>
      <c r="K48" s="118">
        <f>'V rok'!J58</f>
        <v>0</v>
      </c>
      <c r="L48" s="118"/>
      <c r="M48" s="118"/>
      <c r="N48" s="118"/>
      <c r="O48" s="118"/>
      <c r="P48" s="116">
        <f>'V rok'!O58</f>
        <v>0</v>
      </c>
      <c r="Q48" s="117"/>
      <c r="R48" s="118"/>
      <c r="S48" s="118"/>
      <c r="T48" s="118"/>
      <c r="U48" s="118"/>
      <c r="V48" s="118"/>
      <c r="W48" s="118"/>
      <c r="X48" s="118"/>
      <c r="Y48" s="116"/>
      <c r="Z48" s="117">
        <f>'V rok'!Y58</f>
        <v>15</v>
      </c>
      <c r="AA48" s="118">
        <f>'V rok'!Z58</f>
        <v>15</v>
      </c>
      <c r="AB48" s="118">
        <f>'V rok'!AA58</f>
        <v>0</v>
      </c>
      <c r="AC48" s="118"/>
      <c r="AD48" s="118"/>
      <c r="AE48" s="118">
        <f>'V rok'!AD58</f>
        <v>25</v>
      </c>
      <c r="AF48" s="118">
        <f>'V rok'!AE58</f>
        <v>1</v>
      </c>
    </row>
    <row r="49" spans="1:32" ht="24.75" customHeight="1">
      <c r="A49" s="802"/>
      <c r="B49" s="118" t="s">
        <v>211</v>
      </c>
      <c r="C49" s="112" t="str">
        <f>'V rok'!B59</f>
        <v>Elektrokardiografia</v>
      </c>
      <c r="D49" s="113" t="str">
        <f>'V rok'!C59</f>
        <v>0912-7LEK-F45-E</v>
      </c>
      <c r="E49" s="114"/>
      <c r="F49" s="115">
        <f>'V rok'!E59</f>
        <v>9</v>
      </c>
      <c r="G49" s="116"/>
      <c r="H49" s="117">
        <f>'V rok'!G59</f>
        <v>15</v>
      </c>
      <c r="I49" s="118">
        <f>'V rok'!H59</f>
        <v>10</v>
      </c>
      <c r="J49" s="118">
        <f>'V rok'!I59</f>
        <v>15</v>
      </c>
      <c r="K49" s="118">
        <f>'V rok'!J59</f>
        <v>10</v>
      </c>
      <c r="L49" s="118"/>
      <c r="M49" s="118"/>
      <c r="N49" s="118"/>
      <c r="O49" s="118"/>
      <c r="P49" s="116">
        <f>'V rok'!O59</f>
        <v>2</v>
      </c>
      <c r="Q49" s="117"/>
      <c r="R49" s="118"/>
      <c r="S49" s="118"/>
      <c r="T49" s="118"/>
      <c r="U49" s="118"/>
      <c r="V49" s="118"/>
      <c r="W49" s="118"/>
      <c r="X49" s="118"/>
      <c r="Y49" s="116"/>
      <c r="Z49" s="117">
        <f>'V rok'!Y59</f>
        <v>30</v>
      </c>
      <c r="AA49" s="118">
        <f>'V rok'!Z59</f>
        <v>15</v>
      </c>
      <c r="AB49" s="118">
        <f>'V rok'!AA59</f>
        <v>15</v>
      </c>
      <c r="AC49" s="118"/>
      <c r="AD49" s="118"/>
      <c r="AE49" s="118">
        <f>'V rok'!AD59</f>
        <v>50</v>
      </c>
      <c r="AF49" s="118">
        <f>'V rok'!AE59</f>
        <v>2</v>
      </c>
    </row>
    <row r="50" spans="1:32" ht="24.75" customHeight="1">
      <c r="A50" s="802"/>
      <c r="B50" s="118" t="s">
        <v>212</v>
      </c>
      <c r="C50" s="112" t="str">
        <f>'V rok'!B60</f>
        <v>Traumatologia dziecięca</v>
      </c>
      <c r="D50" s="113" t="str">
        <f>'V rok'!C60</f>
        <v>0912-7LEK-F46-T</v>
      </c>
      <c r="E50" s="114"/>
      <c r="F50" s="115">
        <f>'V rok'!E60</f>
        <v>10</v>
      </c>
      <c r="G50" s="116"/>
      <c r="H50" s="117">
        <f>'V rok'!G60</f>
        <v>0</v>
      </c>
      <c r="I50" s="118">
        <f>'V rok'!H60</f>
        <v>0</v>
      </c>
      <c r="J50" s="118">
        <f>'V rok'!I60</f>
        <v>0</v>
      </c>
      <c r="K50" s="118">
        <f>'V rok'!J60</f>
        <v>0</v>
      </c>
      <c r="L50" s="118"/>
      <c r="M50" s="118"/>
      <c r="N50" s="118"/>
      <c r="O50" s="118"/>
      <c r="P50" s="116">
        <f>'V rok'!O60</f>
        <v>0</v>
      </c>
      <c r="Q50" s="117"/>
      <c r="R50" s="118"/>
      <c r="S50" s="118"/>
      <c r="T50" s="118"/>
      <c r="U50" s="118"/>
      <c r="V50" s="118"/>
      <c r="W50" s="118"/>
      <c r="X50" s="118"/>
      <c r="Y50" s="116"/>
      <c r="Z50" s="117">
        <f>'V rok'!Y60</f>
        <v>15</v>
      </c>
      <c r="AA50" s="118">
        <f>'V rok'!Z60</f>
        <v>15</v>
      </c>
      <c r="AB50" s="118">
        <f>'V rok'!AA60</f>
        <v>0</v>
      </c>
      <c r="AC50" s="118"/>
      <c r="AD50" s="118"/>
      <c r="AE50" s="118">
        <f>'V rok'!AD60</f>
        <v>25</v>
      </c>
      <c r="AF50" s="118">
        <f>'V rok'!AE60</f>
        <v>1</v>
      </c>
    </row>
    <row r="51" spans="1:32" ht="24.75" customHeight="1">
      <c r="A51" s="802"/>
      <c r="B51" s="118" t="s">
        <v>213</v>
      </c>
      <c r="C51" s="112" t="str">
        <f>'V rok'!B61</f>
        <v>Diagnostyka obrazowa w stanach nagłych</v>
      </c>
      <c r="D51" s="113" t="str">
        <f>'V rok'!C61</f>
        <v>0912-7LEK-F47-D</v>
      </c>
      <c r="E51" s="114"/>
      <c r="F51" s="115">
        <f>'V rok'!E61</f>
        <v>9</v>
      </c>
      <c r="G51" s="116"/>
      <c r="H51" s="117">
        <f>'V rok'!G61</f>
        <v>15</v>
      </c>
      <c r="I51" s="118">
        <f>'V rok'!H61</f>
        <v>10</v>
      </c>
      <c r="J51" s="118">
        <f>'V rok'!I61</f>
        <v>15</v>
      </c>
      <c r="K51" s="118">
        <f>'V rok'!J61</f>
        <v>10</v>
      </c>
      <c r="L51" s="118"/>
      <c r="M51" s="118"/>
      <c r="N51" s="118"/>
      <c r="O51" s="118"/>
      <c r="P51" s="116">
        <f>'V rok'!O61</f>
        <v>2</v>
      </c>
      <c r="Q51" s="117"/>
      <c r="R51" s="118"/>
      <c r="S51" s="118"/>
      <c r="T51" s="118"/>
      <c r="U51" s="118"/>
      <c r="V51" s="118"/>
      <c r="W51" s="118"/>
      <c r="X51" s="118"/>
      <c r="Y51" s="116"/>
      <c r="Z51" s="117">
        <f>'V rok'!Y61</f>
        <v>30</v>
      </c>
      <c r="AA51" s="118">
        <f>'V rok'!Z61</f>
        <v>15</v>
      </c>
      <c r="AB51" s="118">
        <f>'V rok'!AA61</f>
        <v>15</v>
      </c>
      <c r="AC51" s="118"/>
      <c r="AD51" s="118"/>
      <c r="AE51" s="118">
        <f>'V rok'!AD61</f>
        <v>50</v>
      </c>
      <c r="AF51" s="118">
        <f>'V rok'!AE61</f>
        <v>2</v>
      </c>
    </row>
    <row r="52" spans="1:32" ht="24.75" customHeight="1">
      <c r="A52" s="802"/>
      <c r="B52" s="118" t="s">
        <v>214</v>
      </c>
      <c r="C52" s="112" t="str">
        <f>'V rok'!B62</f>
        <v>Radioterapia</v>
      </c>
      <c r="D52" s="113" t="str">
        <f>'V rok'!C62</f>
        <v>0912-7LEK-F48-R</v>
      </c>
      <c r="E52" s="114"/>
      <c r="F52" s="115">
        <f>'V rok'!E62</f>
        <v>9</v>
      </c>
      <c r="G52" s="116"/>
      <c r="H52" s="117">
        <f>'V rok'!G62</f>
        <v>15</v>
      </c>
      <c r="I52" s="118">
        <f>'V rok'!H62</f>
        <v>10</v>
      </c>
      <c r="J52" s="118">
        <f>'V rok'!I62</f>
        <v>15</v>
      </c>
      <c r="K52" s="118">
        <f>'V rok'!J62</f>
        <v>10</v>
      </c>
      <c r="L52" s="118"/>
      <c r="M52" s="118"/>
      <c r="N52" s="118"/>
      <c r="O52" s="118"/>
      <c r="P52" s="116">
        <f>'V rok'!O62</f>
        <v>2</v>
      </c>
      <c r="Q52" s="117"/>
      <c r="R52" s="118"/>
      <c r="S52" s="118"/>
      <c r="T52" s="118"/>
      <c r="U52" s="118"/>
      <c r="V52" s="118"/>
      <c r="W52" s="118"/>
      <c r="X52" s="118"/>
      <c r="Y52" s="116"/>
      <c r="Z52" s="117">
        <f>'V rok'!Y62</f>
        <v>30</v>
      </c>
      <c r="AA52" s="118">
        <f>'V rok'!Z62</f>
        <v>15</v>
      </c>
      <c r="AB52" s="118">
        <f>'V rok'!AA62</f>
        <v>15</v>
      </c>
      <c r="AC52" s="118"/>
      <c r="AD52" s="118"/>
      <c r="AE52" s="118">
        <f>'V rok'!AD62</f>
        <v>50</v>
      </c>
      <c r="AF52" s="118">
        <f>'V rok'!AE62</f>
        <v>2</v>
      </c>
    </row>
    <row r="53" spans="1:32" ht="24.75" customHeight="1">
      <c r="A53" s="802"/>
      <c r="B53" s="118" t="s">
        <v>215</v>
      </c>
      <c r="C53" s="112" t="str">
        <f>'V rok'!B63</f>
        <v>Znaczenie profili genetycznych w leczeniu onkologicznym</v>
      </c>
      <c r="D53" s="113" t="str">
        <f>'V rok'!C63</f>
        <v>0912-7LEK-F49-Z</v>
      </c>
      <c r="E53" s="114"/>
      <c r="F53" s="115">
        <f>'V rok'!E63</f>
        <v>10</v>
      </c>
      <c r="G53" s="116"/>
      <c r="H53" s="117">
        <f>'V rok'!G63</f>
        <v>0</v>
      </c>
      <c r="I53" s="118">
        <f>'V rok'!H63</f>
        <v>0</v>
      </c>
      <c r="J53" s="118">
        <f>'V rok'!I63</f>
        <v>0</v>
      </c>
      <c r="K53" s="118">
        <f>'V rok'!J63</f>
        <v>0</v>
      </c>
      <c r="L53" s="118"/>
      <c r="M53" s="118"/>
      <c r="N53" s="118"/>
      <c r="O53" s="118"/>
      <c r="P53" s="116">
        <f>'V rok'!O63</f>
        <v>0</v>
      </c>
      <c r="Q53" s="117"/>
      <c r="R53" s="118"/>
      <c r="S53" s="118"/>
      <c r="T53" s="118"/>
      <c r="U53" s="118"/>
      <c r="V53" s="118"/>
      <c r="W53" s="118"/>
      <c r="X53" s="118"/>
      <c r="Y53" s="116"/>
      <c r="Z53" s="117">
        <f>'V rok'!Y63</f>
        <v>15</v>
      </c>
      <c r="AA53" s="118">
        <f>'V rok'!Z63</f>
        <v>15</v>
      </c>
      <c r="AB53" s="118">
        <f>'V rok'!AA63</f>
        <v>0</v>
      </c>
      <c r="AC53" s="118"/>
      <c r="AD53" s="118"/>
      <c r="AE53" s="118">
        <f>'V rok'!AD63</f>
        <v>25</v>
      </c>
      <c r="AF53" s="118">
        <f>'V rok'!AE63</f>
        <v>1</v>
      </c>
    </row>
    <row r="54" spans="1:32" ht="24.75" customHeight="1" thickBot="1">
      <c r="A54" s="802"/>
      <c r="B54" s="118" t="s">
        <v>216</v>
      </c>
      <c r="C54" s="216" t="str">
        <f>'V rok'!B64</f>
        <v>Chirurgia bariatryczna</v>
      </c>
      <c r="D54" s="146" t="str">
        <f>'V rok'!C64</f>
        <v>0912-7LEK-F50-C</v>
      </c>
      <c r="E54" s="147"/>
      <c r="F54" s="148">
        <f>'V rok'!E64</f>
        <v>9</v>
      </c>
      <c r="G54" s="149"/>
      <c r="H54" s="150">
        <f>'V rok'!G64</f>
        <v>15</v>
      </c>
      <c r="I54" s="151">
        <f>'V rok'!H64</f>
        <v>10</v>
      </c>
      <c r="J54" s="151"/>
      <c r="K54" s="151"/>
      <c r="L54" s="151"/>
      <c r="M54" s="151"/>
      <c r="N54" s="151"/>
      <c r="O54" s="151"/>
      <c r="P54" s="149">
        <f>'V rok'!O64</f>
        <v>2</v>
      </c>
      <c r="Q54" s="150"/>
      <c r="R54" s="151"/>
      <c r="S54" s="151"/>
      <c r="T54" s="151"/>
      <c r="U54" s="151"/>
      <c r="V54" s="151"/>
      <c r="W54" s="151"/>
      <c r="X54" s="151"/>
      <c r="Y54" s="149"/>
      <c r="Z54" s="150">
        <f>'V rok'!Y64</f>
        <v>30</v>
      </c>
      <c r="AA54" s="151">
        <f>'V rok'!Z64</f>
        <v>15</v>
      </c>
      <c r="AB54" s="151"/>
      <c r="AC54" s="151"/>
      <c r="AD54" s="151"/>
      <c r="AE54" s="151">
        <f>'V rok'!AD64</f>
        <v>50</v>
      </c>
      <c r="AF54" s="151">
        <f>'V rok'!AE64</f>
        <v>2</v>
      </c>
    </row>
    <row r="55" spans="1:32" ht="24.75" customHeight="1">
      <c r="A55" s="802"/>
      <c r="B55" s="118" t="s">
        <v>217</v>
      </c>
      <c r="C55" s="152" t="str">
        <f>'V rok'!B65</f>
        <v>Psychiatria dorosłych</v>
      </c>
      <c r="D55" s="153" t="str">
        <f>'V rok'!C65</f>
        <v>0912-7LEK-F51-P</v>
      </c>
      <c r="E55" s="154"/>
      <c r="F55" s="155">
        <f>'V rok'!E65</f>
        <v>10</v>
      </c>
      <c r="G55" s="156"/>
      <c r="H55" s="157">
        <f>'V rok'!G65</f>
        <v>0</v>
      </c>
      <c r="I55" s="158">
        <f>'V rok'!H65</f>
        <v>0</v>
      </c>
      <c r="J55" s="158"/>
      <c r="K55" s="158"/>
      <c r="L55" s="158"/>
      <c r="M55" s="158"/>
      <c r="N55" s="158"/>
      <c r="O55" s="158"/>
      <c r="P55" s="159">
        <f>'V rok'!O65</f>
        <v>0</v>
      </c>
      <c r="Q55" s="154"/>
      <c r="R55" s="158"/>
      <c r="S55" s="158"/>
      <c r="T55" s="158"/>
      <c r="U55" s="158"/>
      <c r="V55" s="158"/>
      <c r="W55" s="158"/>
      <c r="X55" s="158"/>
      <c r="Y55" s="156"/>
      <c r="Z55" s="157">
        <f>'V rok'!Y65</f>
        <v>15</v>
      </c>
      <c r="AA55" s="158">
        <f>'V rok'!Z65</f>
        <v>15</v>
      </c>
      <c r="AB55" s="158"/>
      <c r="AC55" s="158"/>
      <c r="AD55" s="158"/>
      <c r="AE55" s="158">
        <f>'V rok'!AD65</f>
        <v>25</v>
      </c>
      <c r="AF55" s="158">
        <f>'V rok'!AE65</f>
        <v>1</v>
      </c>
    </row>
    <row r="56" spans="1:32" ht="24.75" customHeight="1">
      <c r="A56" s="802"/>
      <c r="B56" s="118" t="s">
        <v>218</v>
      </c>
      <c r="C56" s="213" t="s">
        <v>262</v>
      </c>
      <c r="D56" s="113" t="str">
        <f>'V rok'!C66</f>
        <v>0912-7LEK-F52-B</v>
      </c>
      <c r="E56" s="114"/>
      <c r="F56" s="115">
        <f>'V rok'!E66</f>
        <v>10</v>
      </c>
      <c r="G56" s="116"/>
      <c r="H56" s="117">
        <f>'V rok'!G66</f>
        <v>0</v>
      </c>
      <c r="I56" s="118">
        <f>'V rok'!H66</f>
        <v>0</v>
      </c>
      <c r="J56" s="118"/>
      <c r="K56" s="118"/>
      <c r="L56" s="118"/>
      <c r="M56" s="118"/>
      <c r="N56" s="118"/>
      <c r="O56" s="118"/>
      <c r="P56" s="122">
        <f>'V rok'!O66</f>
        <v>0</v>
      </c>
      <c r="Q56" s="114"/>
      <c r="R56" s="118"/>
      <c r="S56" s="118"/>
      <c r="T56" s="118"/>
      <c r="U56" s="118"/>
      <c r="V56" s="118"/>
      <c r="W56" s="118"/>
      <c r="X56" s="118"/>
      <c r="Y56" s="116"/>
      <c r="Z56" s="117">
        <f>'V rok'!Y66</f>
        <v>15</v>
      </c>
      <c r="AA56" s="118">
        <f>'V rok'!Z66</f>
        <v>15</v>
      </c>
      <c r="AB56" s="118"/>
      <c r="AC56" s="118"/>
      <c r="AD56" s="118"/>
      <c r="AE56" s="118">
        <f>'V rok'!AD66</f>
        <v>25</v>
      </c>
      <c r="AF56" s="118">
        <f>'V rok'!AE66</f>
        <v>1</v>
      </c>
    </row>
    <row r="57" spans="1:32" ht="24.75" customHeight="1">
      <c r="A57" s="802"/>
      <c r="B57" s="118" t="s">
        <v>219</v>
      </c>
      <c r="C57" s="213" t="str">
        <f>'V rok'!B67</f>
        <v>Metodyka pisania prac naukowych</v>
      </c>
      <c r="D57" s="113" t="str">
        <f>'V rok'!C67</f>
        <v>0912-7LEK-F53-M</v>
      </c>
      <c r="E57" s="114"/>
      <c r="F57" s="115">
        <f>'V rok'!E67</f>
        <v>10</v>
      </c>
      <c r="G57" s="116"/>
      <c r="H57" s="117">
        <f>'V rok'!G67</f>
        <v>0</v>
      </c>
      <c r="I57" s="118">
        <f>'V rok'!H67</f>
        <v>0</v>
      </c>
      <c r="J57" s="118"/>
      <c r="K57" s="118"/>
      <c r="L57" s="118"/>
      <c r="M57" s="118"/>
      <c r="N57" s="118"/>
      <c r="O57" s="118"/>
      <c r="P57" s="122">
        <f>'V rok'!O67</f>
        <v>0</v>
      </c>
      <c r="Q57" s="114"/>
      <c r="R57" s="118"/>
      <c r="S57" s="118"/>
      <c r="T57" s="118"/>
      <c r="U57" s="118"/>
      <c r="V57" s="118"/>
      <c r="W57" s="118"/>
      <c r="X57" s="118"/>
      <c r="Y57" s="116"/>
      <c r="Z57" s="117">
        <f>'V rok'!Y67</f>
        <v>15</v>
      </c>
      <c r="AA57" s="118">
        <f>'V rok'!Z67</f>
        <v>15</v>
      </c>
      <c r="AB57" s="118"/>
      <c r="AC57" s="118"/>
      <c r="AD57" s="118"/>
      <c r="AE57" s="118">
        <f>'V rok'!AD67</f>
        <v>25</v>
      </c>
      <c r="AF57" s="118">
        <f>'V rok'!AE67</f>
        <v>1</v>
      </c>
    </row>
    <row r="58" spans="1:32" ht="24.75" customHeight="1">
      <c r="A58" s="802"/>
      <c r="B58" s="118" t="s">
        <v>220</v>
      </c>
      <c r="C58" s="213" t="e">
        <f>'V rok'!#REF!</f>
        <v>#REF!</v>
      </c>
      <c r="D58" s="113" t="e">
        <f>'V rok'!#REF!</f>
        <v>#REF!</v>
      </c>
      <c r="E58" s="114"/>
      <c r="F58" s="115" t="e">
        <f>'V rok'!#REF!</f>
        <v>#REF!</v>
      </c>
      <c r="G58" s="116"/>
      <c r="H58" s="117"/>
      <c r="I58" s="118"/>
      <c r="J58" s="118"/>
      <c r="K58" s="118"/>
      <c r="L58" s="118"/>
      <c r="M58" s="118"/>
      <c r="N58" s="118"/>
      <c r="O58" s="118"/>
      <c r="P58" s="122"/>
      <c r="Q58" s="114" t="e">
        <f>'V rok'!#REF!</f>
        <v>#REF!</v>
      </c>
      <c r="R58" s="118" t="e">
        <f>'V rok'!#REF!</f>
        <v>#REF!</v>
      </c>
      <c r="S58" s="118"/>
      <c r="T58" s="118"/>
      <c r="U58" s="118"/>
      <c r="V58" s="118"/>
      <c r="W58" s="118"/>
      <c r="X58" s="118"/>
      <c r="Y58" s="116" t="e">
        <f>'V rok'!#REF!</f>
        <v>#REF!</v>
      </c>
      <c r="Z58" s="117" t="e">
        <f>'V rok'!#REF!</f>
        <v>#REF!</v>
      </c>
      <c r="AA58" s="118" t="e">
        <f>'V rok'!#REF!</f>
        <v>#REF!</v>
      </c>
      <c r="AB58" s="118"/>
      <c r="AC58" s="118"/>
      <c r="AD58" s="118"/>
      <c r="AE58" s="118" t="e">
        <f>'V rok'!#REF!</f>
        <v>#REF!</v>
      </c>
      <c r="AF58" s="118" t="e">
        <f>'V rok'!#REF!</f>
        <v>#REF!</v>
      </c>
    </row>
    <row r="59" spans="1:32" ht="24.75" customHeight="1">
      <c r="A59" s="802"/>
      <c r="B59" s="118" t="s">
        <v>221</v>
      </c>
      <c r="C59" s="112" t="str">
        <f>'V rok'!B68</f>
        <v>Farmakogenetyka</v>
      </c>
      <c r="D59" s="113" t="str">
        <f>'V rok'!C68</f>
        <v>0912-7LEK-F54-F</v>
      </c>
      <c r="E59" s="114"/>
      <c r="F59" s="115">
        <f>'V rok'!E68</f>
        <v>10</v>
      </c>
      <c r="G59" s="116"/>
      <c r="H59" s="117"/>
      <c r="I59" s="118"/>
      <c r="J59" s="118"/>
      <c r="K59" s="118"/>
      <c r="L59" s="118"/>
      <c r="M59" s="118"/>
      <c r="N59" s="118"/>
      <c r="O59" s="118"/>
      <c r="P59" s="122"/>
      <c r="Q59" s="114">
        <f>'V rok'!P68</f>
        <v>15</v>
      </c>
      <c r="R59" s="118">
        <f>'V rok'!Q68</f>
        <v>10</v>
      </c>
      <c r="S59" s="118"/>
      <c r="T59" s="118"/>
      <c r="U59" s="118"/>
      <c r="V59" s="118"/>
      <c r="W59" s="118"/>
      <c r="X59" s="118"/>
      <c r="Y59" s="116">
        <f>'V rok'!X68</f>
        <v>1</v>
      </c>
      <c r="Z59" s="117">
        <f>'V rok'!Y68</f>
        <v>15</v>
      </c>
      <c r="AA59" s="118">
        <f>'V rok'!Z68</f>
        <v>15</v>
      </c>
      <c r="AB59" s="118"/>
      <c r="AC59" s="118"/>
      <c r="AD59" s="118"/>
      <c r="AE59" s="118">
        <f>'V rok'!AD68</f>
        <v>25</v>
      </c>
      <c r="AF59" s="118">
        <f>'V rok'!AE68</f>
        <v>1</v>
      </c>
    </row>
    <row r="60" spans="1:32" ht="24.75" customHeight="1">
      <c r="A60" s="802"/>
      <c r="B60" s="118" t="s">
        <v>222</v>
      </c>
      <c r="C60" s="112" t="str">
        <f>'V rok'!B69</f>
        <v>Psychiatria dzieci i młodzieży</v>
      </c>
      <c r="D60" s="113" t="str">
        <f>'V rok'!C69</f>
        <v>0912-7LEK-F55-P</v>
      </c>
      <c r="E60" s="114"/>
      <c r="F60" s="115">
        <f>'V rok'!E69</f>
        <v>10</v>
      </c>
      <c r="G60" s="116"/>
      <c r="H60" s="117"/>
      <c r="I60" s="118"/>
      <c r="J60" s="118"/>
      <c r="K60" s="118"/>
      <c r="L60" s="118"/>
      <c r="M60" s="118"/>
      <c r="N60" s="118"/>
      <c r="O60" s="118"/>
      <c r="P60" s="122"/>
      <c r="Q60" s="114">
        <f>'V rok'!P69</f>
        <v>15</v>
      </c>
      <c r="R60" s="118">
        <f>'V rok'!Q69</f>
        <v>10</v>
      </c>
      <c r="S60" s="118"/>
      <c r="T60" s="118"/>
      <c r="U60" s="118"/>
      <c r="V60" s="118"/>
      <c r="W60" s="118"/>
      <c r="X60" s="118"/>
      <c r="Y60" s="116">
        <f>'V rok'!X69</f>
        <v>1</v>
      </c>
      <c r="Z60" s="117">
        <f>'V rok'!Y69</f>
        <v>15</v>
      </c>
      <c r="AA60" s="118">
        <f>'V rok'!Z69</f>
        <v>15</v>
      </c>
      <c r="AB60" s="118"/>
      <c r="AC60" s="118"/>
      <c r="AD60" s="118"/>
      <c r="AE60" s="118">
        <f>'V rok'!AD69</f>
        <v>25</v>
      </c>
      <c r="AF60" s="118">
        <f>'V rok'!AE69</f>
        <v>1</v>
      </c>
    </row>
    <row r="61" spans="1:32" ht="24.75" customHeight="1">
      <c r="A61" s="803"/>
      <c r="B61" s="118" t="s">
        <v>223</v>
      </c>
      <c r="C61" s="112" t="e">
        <f>'V rok'!#REF!</f>
        <v>#REF!</v>
      </c>
      <c r="D61" s="113" t="e">
        <f>'V rok'!#REF!</f>
        <v>#REF!</v>
      </c>
      <c r="E61" s="114"/>
      <c r="F61" s="115" t="e">
        <f>'V rok'!#REF!</f>
        <v>#REF!</v>
      </c>
      <c r="G61" s="116"/>
      <c r="H61" s="117"/>
      <c r="I61" s="118"/>
      <c r="J61" s="118"/>
      <c r="K61" s="118"/>
      <c r="L61" s="118"/>
      <c r="M61" s="118"/>
      <c r="N61" s="118"/>
      <c r="O61" s="118"/>
      <c r="P61" s="122"/>
      <c r="Q61" s="114" t="e">
        <f>'V rok'!#REF!</f>
        <v>#REF!</v>
      </c>
      <c r="R61" s="118" t="e">
        <f>'V rok'!#REF!</f>
        <v>#REF!</v>
      </c>
      <c r="S61" s="118"/>
      <c r="T61" s="118"/>
      <c r="U61" s="118"/>
      <c r="V61" s="118"/>
      <c r="W61" s="118"/>
      <c r="X61" s="118"/>
      <c r="Y61" s="116" t="e">
        <f>'V rok'!#REF!</f>
        <v>#REF!</v>
      </c>
      <c r="Z61" s="117" t="e">
        <f>'V rok'!#REF!</f>
        <v>#REF!</v>
      </c>
      <c r="AA61" s="118" t="e">
        <f>'V rok'!#REF!</f>
        <v>#REF!</v>
      </c>
      <c r="AB61" s="118"/>
      <c r="AC61" s="118"/>
      <c r="AD61" s="118"/>
      <c r="AE61" s="118" t="e">
        <f>'V rok'!#REF!</f>
        <v>#REF!</v>
      </c>
      <c r="AF61" s="118" t="e">
        <f>'V rok'!#REF!</f>
        <v>#REF!</v>
      </c>
    </row>
    <row r="62" spans="1:32" ht="196.5" customHeight="1">
      <c r="A62" s="128" t="s">
        <v>158</v>
      </c>
      <c r="B62" s="118" t="s">
        <v>224</v>
      </c>
      <c r="C62" s="121" t="s">
        <v>256</v>
      </c>
      <c r="D62" s="113" t="str">
        <f>'V rok'!C71</f>
        <v>0912-7LEK-F57-Z</v>
      </c>
      <c r="E62" s="114"/>
      <c r="F62" s="115" t="str">
        <f>'V rok'!E71</f>
        <v>9-10</v>
      </c>
      <c r="G62" s="116"/>
      <c r="H62" s="117">
        <f>'V rok'!G71</f>
        <v>0</v>
      </c>
      <c r="I62" s="118">
        <f>'V rok'!H71</f>
        <v>0</v>
      </c>
      <c r="J62" s="118">
        <f>'V rok'!I71</f>
        <v>30</v>
      </c>
      <c r="K62" s="118">
        <f>'V rok'!J71</f>
        <v>20</v>
      </c>
      <c r="L62" s="118"/>
      <c r="M62" s="118"/>
      <c r="N62" s="118"/>
      <c r="O62" s="118"/>
      <c r="P62" s="116">
        <f>'V rok'!O71</f>
        <v>2</v>
      </c>
      <c r="Q62" s="117"/>
      <c r="R62" s="118"/>
      <c r="S62" s="118">
        <f>'V rok'!R71</f>
        <v>30</v>
      </c>
      <c r="T62" s="118">
        <f>'V rok'!S71</f>
        <v>20</v>
      </c>
      <c r="U62" s="118"/>
      <c r="V62" s="118"/>
      <c r="W62" s="118"/>
      <c r="X62" s="118"/>
      <c r="Y62" s="116">
        <f>'V rok'!X71</f>
        <v>2</v>
      </c>
      <c r="Z62" s="117">
        <f>'V rok'!Y71</f>
        <v>60</v>
      </c>
      <c r="AA62" s="118">
        <f>'V rok'!Z71</f>
        <v>0</v>
      </c>
      <c r="AB62" s="118">
        <f>'V rok'!AA71</f>
        <v>60</v>
      </c>
      <c r="AC62" s="118"/>
      <c r="AD62" s="118"/>
      <c r="AE62" s="118">
        <f>'V rok'!AD71</f>
        <v>100</v>
      </c>
      <c r="AF62" s="118">
        <f>'V rok'!AE71</f>
        <v>4</v>
      </c>
    </row>
    <row r="63" spans="1:32" ht="204" customHeight="1">
      <c r="A63" s="126" t="s">
        <v>192</v>
      </c>
      <c r="B63" s="118" t="s">
        <v>225</v>
      </c>
      <c r="C63" s="121" t="s">
        <v>255</v>
      </c>
      <c r="D63" s="133">
        <f>'VI rok'!C24</f>
        <v>0</v>
      </c>
      <c r="E63" s="114"/>
      <c r="F63" s="118">
        <f>'VI rok'!E24</f>
        <v>11</v>
      </c>
      <c r="G63" s="116"/>
      <c r="H63" s="117">
        <f>'VI rok'!G24</f>
        <v>0</v>
      </c>
      <c r="I63" s="118">
        <f>'VI rok'!H24</f>
        <v>0</v>
      </c>
      <c r="J63" s="118">
        <f>'VI rok'!I24</f>
        <v>20</v>
      </c>
      <c r="K63" s="118">
        <f>'VI rok'!J24</f>
        <v>5</v>
      </c>
      <c r="L63" s="118"/>
      <c r="M63" s="118"/>
      <c r="N63" s="118"/>
      <c r="O63" s="118"/>
      <c r="P63" s="122">
        <f>'VI rok'!O24</f>
        <v>1</v>
      </c>
      <c r="Q63" s="114"/>
      <c r="R63" s="118"/>
      <c r="S63" s="118">
        <f>'VI rok'!R24</f>
        <v>0</v>
      </c>
      <c r="T63" s="118">
        <f>'VI rok'!S24</f>
        <v>0</v>
      </c>
      <c r="U63" s="118"/>
      <c r="V63" s="118"/>
      <c r="W63" s="118"/>
      <c r="X63" s="118"/>
      <c r="Y63" s="116">
        <f>'VI rok'!X24</f>
        <v>0</v>
      </c>
      <c r="Z63" s="117">
        <f>'VI rok'!Y24</f>
        <v>20</v>
      </c>
      <c r="AA63" s="118">
        <f>'VI rok'!Z24</f>
        <v>0</v>
      </c>
      <c r="AB63" s="118">
        <f>'VI rok'!AA24</f>
        <v>20</v>
      </c>
      <c r="AC63" s="118"/>
      <c r="AD63" s="118"/>
      <c r="AE63" s="118">
        <f>'VI rok'!AD24</f>
        <v>25</v>
      </c>
      <c r="AF63" s="118">
        <f>'VI rok'!AE24</f>
        <v>1</v>
      </c>
    </row>
    <row r="64" spans="1:32"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</row>
  </sheetData>
  <mergeCells count="37">
    <mergeCell ref="A7:A13"/>
    <mergeCell ref="A14:A21"/>
    <mergeCell ref="A23:A30"/>
    <mergeCell ref="A31:A40"/>
    <mergeCell ref="A41:A61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8"/>
  <sheetViews>
    <sheetView zoomScale="84" zoomScaleNormal="84" zoomScaleSheetLayoutView="80" workbookViewId="0">
      <pane ySplit="9" topLeftCell="A46" activePane="bottomLeft" state="frozen"/>
      <selection pane="bottomLeft" activeCell="A40" sqref="A40:A44"/>
    </sheetView>
  </sheetViews>
  <sheetFormatPr defaultRowHeight="15"/>
  <cols>
    <col min="1" max="1" width="6" style="58" customWidth="1"/>
    <col min="2" max="2" width="47.85546875" customWidth="1"/>
    <col min="3" max="3" width="22.5703125" customWidth="1"/>
    <col min="4" max="4" width="6.5703125" customWidth="1"/>
    <col min="5" max="5" width="7.85546875" customWidth="1"/>
    <col min="6" max="7" width="6.5703125" customWidth="1"/>
    <col min="8" max="24" width="6.140625" customWidth="1"/>
    <col min="25" max="25" width="8.28515625" customWidth="1"/>
    <col min="26" max="29" width="6.7109375" customWidth="1"/>
    <col min="30" max="30" width="9.85546875" customWidth="1"/>
    <col min="31" max="31" width="9.140625" customWidth="1"/>
  </cols>
  <sheetData>
    <row r="1" spans="1:31" s="12" customFormat="1" ht="42.75" customHeight="1">
      <c r="A1" s="653" t="s">
        <v>376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</row>
    <row r="2" spans="1:31" s="12" customFormat="1" ht="42.75" customHeight="1">
      <c r="A2" s="635" t="s">
        <v>503</v>
      </c>
      <c r="B2" s="635"/>
      <c r="C2" s="347" t="s">
        <v>341</v>
      </c>
      <c r="D2" s="333"/>
      <c r="E2" s="348"/>
      <c r="F2" s="348"/>
      <c r="G2" s="348"/>
      <c r="H2" s="636" t="s">
        <v>118</v>
      </c>
      <c r="I2" s="636"/>
      <c r="J2" s="636"/>
      <c r="K2" s="636"/>
      <c r="L2" s="636"/>
      <c r="M2" s="636"/>
      <c r="N2" s="636"/>
      <c r="O2" s="636"/>
      <c r="P2" s="636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</row>
    <row r="3" spans="1:31" s="12" customFormat="1" ht="34.5" customHeight="1">
      <c r="A3" s="637" t="s">
        <v>342</v>
      </c>
      <c r="B3" s="637"/>
      <c r="C3" s="350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</row>
    <row r="4" spans="1:31" s="12" customFormat="1" ht="32.25" customHeight="1">
      <c r="A4" s="351"/>
      <c r="B4" s="352" t="s">
        <v>333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</row>
    <row r="5" spans="1:31" ht="20.25" customHeight="1">
      <c r="A5" s="655"/>
      <c r="B5" s="656"/>
      <c r="C5" s="656"/>
      <c r="D5" s="656"/>
      <c r="E5" s="656"/>
      <c r="F5" s="657"/>
      <c r="G5" s="658" t="s">
        <v>103</v>
      </c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60"/>
    </row>
    <row r="6" spans="1:31" ht="15" customHeight="1">
      <c r="A6" s="661" t="s">
        <v>0</v>
      </c>
      <c r="B6" s="587" t="s">
        <v>4</v>
      </c>
      <c r="C6" s="587" t="s">
        <v>1</v>
      </c>
      <c r="D6" s="663" t="s">
        <v>8</v>
      </c>
      <c r="E6" s="663"/>
      <c r="F6" s="663"/>
      <c r="G6" s="354"/>
      <c r="H6" s="354"/>
      <c r="I6" s="354"/>
      <c r="J6" s="354"/>
      <c r="K6" s="354"/>
      <c r="L6" s="354"/>
      <c r="M6" s="354"/>
      <c r="N6" s="354"/>
      <c r="O6" s="354" t="s">
        <v>117</v>
      </c>
      <c r="P6" s="354"/>
      <c r="Q6" s="354"/>
      <c r="R6" s="354"/>
      <c r="S6" s="354"/>
      <c r="T6" s="354"/>
      <c r="U6" s="354"/>
      <c r="V6" s="354"/>
      <c r="W6" s="354"/>
      <c r="X6" s="354"/>
      <c r="Y6" s="593" t="s">
        <v>5</v>
      </c>
      <c r="Z6" s="593" t="s">
        <v>89</v>
      </c>
      <c r="AA6" s="593" t="s">
        <v>88</v>
      </c>
      <c r="AB6" s="593" t="s">
        <v>94</v>
      </c>
      <c r="AC6" s="593" t="s">
        <v>90</v>
      </c>
      <c r="AD6" s="593" t="s">
        <v>14</v>
      </c>
      <c r="AE6" s="593" t="s">
        <v>6</v>
      </c>
    </row>
    <row r="7" spans="1:31" ht="15" customHeight="1">
      <c r="A7" s="661"/>
      <c r="B7" s="587"/>
      <c r="C7" s="587"/>
      <c r="D7" s="663"/>
      <c r="E7" s="663"/>
      <c r="F7" s="663"/>
      <c r="G7" s="601" t="s">
        <v>95</v>
      </c>
      <c r="H7" s="602"/>
      <c r="I7" s="602"/>
      <c r="J7" s="602"/>
      <c r="K7" s="602"/>
      <c r="L7" s="602"/>
      <c r="M7" s="602"/>
      <c r="N7" s="602"/>
      <c r="O7" s="603"/>
      <c r="P7" s="596" t="s">
        <v>96</v>
      </c>
      <c r="Q7" s="616"/>
      <c r="R7" s="616"/>
      <c r="S7" s="616"/>
      <c r="T7" s="616"/>
      <c r="U7" s="616"/>
      <c r="V7" s="616"/>
      <c r="W7" s="616"/>
      <c r="X7" s="597"/>
      <c r="Y7" s="594"/>
      <c r="Z7" s="594"/>
      <c r="AA7" s="594"/>
      <c r="AB7" s="594"/>
      <c r="AC7" s="594"/>
      <c r="AD7" s="594"/>
      <c r="AE7" s="594"/>
    </row>
    <row r="8" spans="1:31" ht="21.75" customHeight="1">
      <c r="A8" s="662"/>
      <c r="B8" s="585"/>
      <c r="C8" s="585"/>
      <c r="D8" s="585" t="s">
        <v>2</v>
      </c>
      <c r="E8" s="585" t="s">
        <v>13</v>
      </c>
      <c r="F8" s="585" t="s">
        <v>12</v>
      </c>
      <c r="G8" s="601" t="s">
        <v>334</v>
      </c>
      <c r="H8" s="603"/>
      <c r="I8" s="601" t="s">
        <v>335</v>
      </c>
      <c r="J8" s="603"/>
      <c r="K8" s="601" t="s">
        <v>336</v>
      </c>
      <c r="L8" s="603"/>
      <c r="M8" s="601" t="s">
        <v>337</v>
      </c>
      <c r="N8" s="603"/>
      <c r="O8" s="620" t="s">
        <v>7</v>
      </c>
      <c r="P8" s="596" t="s">
        <v>334</v>
      </c>
      <c r="Q8" s="597"/>
      <c r="R8" s="596" t="s">
        <v>335</v>
      </c>
      <c r="S8" s="597"/>
      <c r="T8" s="596" t="s">
        <v>336</v>
      </c>
      <c r="U8" s="597"/>
      <c r="V8" s="596" t="s">
        <v>337</v>
      </c>
      <c r="W8" s="597"/>
      <c r="X8" s="598" t="s">
        <v>7</v>
      </c>
      <c r="Y8" s="594"/>
      <c r="Z8" s="594"/>
      <c r="AA8" s="594"/>
      <c r="AB8" s="594"/>
      <c r="AC8" s="594"/>
      <c r="AD8" s="594"/>
      <c r="AE8" s="594"/>
    </row>
    <row r="9" spans="1:31" ht="45" customHeight="1">
      <c r="A9" s="661"/>
      <c r="B9" s="587"/>
      <c r="C9" s="587"/>
      <c r="D9" s="638"/>
      <c r="E9" s="638"/>
      <c r="F9" s="638"/>
      <c r="G9" s="355" t="s">
        <v>15</v>
      </c>
      <c r="H9" s="355" t="s">
        <v>16</v>
      </c>
      <c r="I9" s="355" t="s">
        <v>15</v>
      </c>
      <c r="J9" s="355" t="s">
        <v>16</v>
      </c>
      <c r="K9" s="355" t="s">
        <v>15</v>
      </c>
      <c r="L9" s="355" t="s">
        <v>16</v>
      </c>
      <c r="M9" s="355" t="s">
        <v>15</v>
      </c>
      <c r="N9" s="355" t="s">
        <v>16</v>
      </c>
      <c r="O9" s="652"/>
      <c r="P9" s="356" t="s">
        <v>15</v>
      </c>
      <c r="Q9" s="356" t="s">
        <v>16</v>
      </c>
      <c r="R9" s="356" t="s">
        <v>15</v>
      </c>
      <c r="S9" s="356" t="s">
        <v>16</v>
      </c>
      <c r="T9" s="356" t="s">
        <v>15</v>
      </c>
      <c r="U9" s="356" t="s">
        <v>16</v>
      </c>
      <c r="V9" s="356" t="s">
        <v>15</v>
      </c>
      <c r="W9" s="356" t="s">
        <v>16</v>
      </c>
      <c r="X9" s="664"/>
      <c r="Y9" s="639"/>
      <c r="Z9" s="639"/>
      <c r="AA9" s="639"/>
      <c r="AB9" s="639"/>
      <c r="AC9" s="639"/>
      <c r="AD9" s="639"/>
      <c r="AE9" s="639"/>
    </row>
    <row r="10" spans="1:31" ht="15.75">
      <c r="A10" s="316" t="s">
        <v>380</v>
      </c>
      <c r="B10" s="357"/>
      <c r="C10" s="358"/>
      <c r="D10" s="357"/>
      <c r="E10" s="357"/>
      <c r="F10" s="357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9"/>
    </row>
    <row r="11" spans="1:31" ht="21" customHeight="1">
      <c r="A11" s="360">
        <v>2.1</v>
      </c>
      <c r="B11" s="14" t="s">
        <v>35</v>
      </c>
      <c r="C11" s="311" t="str">
        <f>' razem plan'!C10</f>
        <v>0912-7LEK-B2.1-B</v>
      </c>
      <c r="D11" s="312">
        <v>3</v>
      </c>
      <c r="E11" s="313">
        <v>3</v>
      </c>
      <c r="F11" s="313"/>
      <c r="G11" s="54">
        <v>25</v>
      </c>
      <c r="H11" s="54">
        <v>25</v>
      </c>
      <c r="I11" s="54">
        <v>15</v>
      </c>
      <c r="J11" s="54">
        <v>20</v>
      </c>
      <c r="K11" s="54"/>
      <c r="L11" s="54"/>
      <c r="M11" s="54">
        <v>15</v>
      </c>
      <c r="N11" s="54"/>
      <c r="O11" s="54">
        <v>4</v>
      </c>
      <c r="P11" s="55"/>
      <c r="Q11" s="55"/>
      <c r="R11" s="55"/>
      <c r="S11" s="55"/>
      <c r="T11" s="55"/>
      <c r="U11" s="55"/>
      <c r="V11" s="55"/>
      <c r="W11" s="55"/>
      <c r="X11" s="55"/>
      <c r="Y11" s="44">
        <f>SUM(Z11:AC11)</f>
        <v>55</v>
      </c>
      <c r="Z11" s="44">
        <f>SUM(G11,P11)</f>
        <v>25</v>
      </c>
      <c r="AA11" s="44">
        <f>SUM(I11,R11)</f>
        <v>15</v>
      </c>
      <c r="AB11" s="44">
        <f>SUM(K11,T11)</f>
        <v>0</v>
      </c>
      <c r="AC11" s="44">
        <f>SUM(M11,V11)</f>
        <v>15</v>
      </c>
      <c r="AD11" s="44">
        <f>SUM(G11:N11,P11:W11)</f>
        <v>100</v>
      </c>
      <c r="AE11" s="44">
        <f>SUM(O11,X11)</f>
        <v>4</v>
      </c>
    </row>
    <row r="12" spans="1:31" ht="21.75" customHeight="1">
      <c r="A12" s="360">
        <v>2.4</v>
      </c>
      <c r="B12" s="361" t="s">
        <v>38</v>
      </c>
      <c r="C12" s="311" t="str">
        <f>RAZEM!C13</f>
        <v>0912-7LEK-B2,4-Bch</v>
      </c>
      <c r="D12" s="312">
        <v>3</v>
      </c>
      <c r="E12" s="313">
        <v>3</v>
      </c>
      <c r="F12" s="313"/>
      <c r="G12" s="54">
        <v>35</v>
      </c>
      <c r="H12" s="54">
        <v>70</v>
      </c>
      <c r="I12" s="54"/>
      <c r="J12" s="54"/>
      <c r="K12" s="54"/>
      <c r="L12" s="54"/>
      <c r="M12" s="54">
        <v>20</v>
      </c>
      <c r="N12" s="54"/>
      <c r="O12" s="54">
        <v>5</v>
      </c>
      <c r="P12" s="55"/>
      <c r="Q12" s="55"/>
      <c r="R12" s="55"/>
      <c r="S12" s="55"/>
      <c r="T12" s="55"/>
      <c r="U12" s="55"/>
      <c r="V12" s="55"/>
      <c r="W12" s="55"/>
      <c r="X12" s="55"/>
      <c r="Y12" s="44">
        <f t="shared" ref="Y12:Y13" si="0">SUM(Z12:AC12)</f>
        <v>55</v>
      </c>
      <c r="Z12" s="44">
        <f t="shared" ref="Z12:Z13" si="1">SUM(G12,P12)</f>
        <v>35</v>
      </c>
      <c r="AA12" s="44">
        <f t="shared" ref="AA12:AA13" si="2">SUM(I12,R12)</f>
        <v>0</v>
      </c>
      <c r="AB12" s="44">
        <f>SUM(K12,T12)</f>
        <v>0</v>
      </c>
      <c r="AC12" s="44">
        <f>SUM(M12,V12)</f>
        <v>20</v>
      </c>
      <c r="AD12" s="44">
        <f>SUM(G12:N12,P12:W12)</f>
        <v>125</v>
      </c>
      <c r="AE12" s="44">
        <f>SUM(O12,X12)</f>
        <v>5</v>
      </c>
    </row>
    <row r="13" spans="1:31" ht="24" customHeight="1">
      <c r="A13" s="360">
        <v>2.5</v>
      </c>
      <c r="B13" s="14" t="s">
        <v>39</v>
      </c>
      <c r="C13" s="311" t="str">
        <f>RAZEM!C14</f>
        <v>0912-7LEK-B2,5-FzC</v>
      </c>
      <c r="D13" s="312">
        <v>4</v>
      </c>
      <c r="E13" s="313" t="s">
        <v>258</v>
      </c>
      <c r="F13" s="313"/>
      <c r="G13" s="54">
        <v>30</v>
      </c>
      <c r="H13" s="54">
        <v>70</v>
      </c>
      <c r="I13" s="54">
        <v>25</v>
      </c>
      <c r="J13" s="54">
        <v>45</v>
      </c>
      <c r="K13" s="54"/>
      <c r="L13" s="54"/>
      <c r="M13" s="54">
        <v>30</v>
      </c>
      <c r="N13" s="54"/>
      <c r="O13" s="54">
        <v>8</v>
      </c>
      <c r="P13" s="55">
        <v>30</v>
      </c>
      <c r="Q13" s="55">
        <v>70</v>
      </c>
      <c r="R13" s="55">
        <v>25</v>
      </c>
      <c r="S13" s="55">
        <v>45</v>
      </c>
      <c r="T13" s="55"/>
      <c r="U13" s="55"/>
      <c r="V13" s="55">
        <v>30</v>
      </c>
      <c r="W13" s="55"/>
      <c r="X13" s="55">
        <v>8</v>
      </c>
      <c r="Y13" s="44">
        <f t="shared" si="0"/>
        <v>170</v>
      </c>
      <c r="Z13" s="44">
        <f t="shared" si="1"/>
        <v>60</v>
      </c>
      <c r="AA13" s="44">
        <f t="shared" si="2"/>
        <v>50</v>
      </c>
      <c r="AB13" s="44">
        <f>SUM(K13,T13)</f>
        <v>0</v>
      </c>
      <c r="AC13" s="44">
        <f>SUM(M13,V13)</f>
        <v>60</v>
      </c>
      <c r="AD13" s="44">
        <f>SUM(G13:N13,P13:W13)</f>
        <v>400</v>
      </c>
      <c r="AE13" s="44">
        <f>SUM(O13,X13)</f>
        <v>16</v>
      </c>
    </row>
    <row r="14" spans="1:31" ht="15.75">
      <c r="A14" s="580" t="s">
        <v>9</v>
      </c>
      <c r="B14" s="581"/>
      <c r="C14" s="581"/>
      <c r="D14" s="581"/>
      <c r="E14" s="581"/>
      <c r="F14" s="582"/>
      <c r="G14" s="61">
        <f t="shared" ref="G14:X14" si="3">SUM(G11:G13)</f>
        <v>90</v>
      </c>
      <c r="H14" s="61">
        <f t="shared" si="3"/>
        <v>165</v>
      </c>
      <c r="I14" s="61">
        <f t="shared" si="3"/>
        <v>40</v>
      </c>
      <c r="J14" s="61">
        <f t="shared" si="3"/>
        <v>65</v>
      </c>
      <c r="K14" s="61">
        <f t="shared" si="3"/>
        <v>0</v>
      </c>
      <c r="L14" s="61">
        <f t="shared" si="3"/>
        <v>0</v>
      </c>
      <c r="M14" s="61">
        <f t="shared" si="3"/>
        <v>65</v>
      </c>
      <c r="N14" s="61">
        <f t="shared" si="3"/>
        <v>0</v>
      </c>
      <c r="O14" s="61">
        <f t="shared" si="3"/>
        <v>17</v>
      </c>
      <c r="P14" s="61">
        <f t="shared" si="3"/>
        <v>30</v>
      </c>
      <c r="Q14" s="61">
        <f t="shared" si="3"/>
        <v>70</v>
      </c>
      <c r="R14" s="61">
        <f t="shared" si="3"/>
        <v>25</v>
      </c>
      <c r="S14" s="61">
        <f t="shared" si="3"/>
        <v>45</v>
      </c>
      <c r="T14" s="61">
        <f t="shared" si="3"/>
        <v>0</v>
      </c>
      <c r="U14" s="61">
        <f t="shared" si="3"/>
        <v>0</v>
      </c>
      <c r="V14" s="61">
        <f t="shared" si="3"/>
        <v>30</v>
      </c>
      <c r="W14" s="61">
        <f t="shared" si="3"/>
        <v>0</v>
      </c>
      <c r="X14" s="61">
        <f t="shared" si="3"/>
        <v>8</v>
      </c>
      <c r="Y14" s="61">
        <f t="shared" ref="Y14:AE14" si="4">SUM(Y11:Y13)</f>
        <v>280</v>
      </c>
      <c r="Z14" s="61">
        <f t="shared" si="4"/>
        <v>120</v>
      </c>
      <c r="AA14" s="61">
        <f t="shared" si="4"/>
        <v>65</v>
      </c>
      <c r="AB14" s="61">
        <f t="shared" si="4"/>
        <v>0</v>
      </c>
      <c r="AC14" s="61">
        <f t="shared" si="4"/>
        <v>95</v>
      </c>
      <c r="AD14" s="61">
        <f t="shared" si="4"/>
        <v>625</v>
      </c>
      <c r="AE14" s="61">
        <f t="shared" si="4"/>
        <v>25</v>
      </c>
    </row>
    <row r="15" spans="1:31" ht="15.75">
      <c r="A15" s="316" t="s">
        <v>391</v>
      </c>
      <c r="B15" s="317"/>
      <c r="C15" s="318"/>
      <c r="D15" s="362"/>
      <c r="E15" s="362"/>
      <c r="F15" s="362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63"/>
    </row>
    <row r="16" spans="1:31" ht="21.75" customHeight="1">
      <c r="A16" s="322">
        <v>3.1</v>
      </c>
      <c r="B16" s="14" t="s">
        <v>41</v>
      </c>
      <c r="C16" s="311" t="str">
        <f>RAZEM!C20</f>
        <v>0912-7LEK-C3,1-G</v>
      </c>
      <c r="D16" s="313">
        <v>3</v>
      </c>
      <c r="E16" s="313">
        <v>3</v>
      </c>
      <c r="F16" s="313"/>
      <c r="G16" s="54">
        <v>15</v>
      </c>
      <c r="H16" s="54">
        <v>10</v>
      </c>
      <c r="I16" s="54">
        <v>20</v>
      </c>
      <c r="J16" s="54">
        <v>5</v>
      </c>
      <c r="K16" s="54"/>
      <c r="L16" s="54"/>
      <c r="M16" s="54"/>
      <c r="N16" s="54"/>
      <c r="O16" s="54">
        <v>2</v>
      </c>
      <c r="P16" s="55"/>
      <c r="Q16" s="55"/>
      <c r="R16" s="55"/>
      <c r="S16" s="55"/>
      <c r="T16" s="55"/>
      <c r="U16" s="55"/>
      <c r="V16" s="55"/>
      <c r="W16" s="55"/>
      <c r="X16" s="55"/>
      <c r="Y16" s="44">
        <f>SUM(Z16:AC16)</f>
        <v>35</v>
      </c>
      <c r="Z16" s="44">
        <f>SUM(G16,P16)</f>
        <v>15</v>
      </c>
      <c r="AA16" s="44">
        <f>SUM(I16,R16)</f>
        <v>20</v>
      </c>
      <c r="AB16" s="44">
        <f>SUM(K16,T16)</f>
        <v>0</v>
      </c>
      <c r="AC16" s="44">
        <f>SUM(M16,V16)</f>
        <v>0</v>
      </c>
      <c r="AD16" s="44">
        <f>SUM(G16:N16,P16:W16)</f>
        <v>50</v>
      </c>
      <c r="AE16" s="44">
        <f>SUM(O16,X16)</f>
        <v>2</v>
      </c>
    </row>
    <row r="17" spans="1:31" ht="21.75" customHeight="1">
      <c r="A17" s="501">
        <v>3.2</v>
      </c>
      <c r="B17" s="505" t="s">
        <v>522</v>
      </c>
      <c r="C17" s="507" t="s">
        <v>515</v>
      </c>
      <c r="D17" s="508">
        <v>4</v>
      </c>
      <c r="E17" s="508" t="s">
        <v>258</v>
      </c>
      <c r="F17" s="508"/>
      <c r="G17" s="506">
        <v>10</v>
      </c>
      <c r="H17" s="506">
        <v>15</v>
      </c>
      <c r="I17" s="506">
        <v>15</v>
      </c>
      <c r="J17" s="506">
        <v>25</v>
      </c>
      <c r="K17" s="506"/>
      <c r="L17" s="506"/>
      <c r="M17" s="506">
        <v>10</v>
      </c>
      <c r="N17" s="506"/>
      <c r="O17" s="506">
        <v>3</v>
      </c>
      <c r="P17" s="503">
        <v>10</v>
      </c>
      <c r="Q17" s="503">
        <v>15</v>
      </c>
      <c r="R17" s="503">
        <v>15</v>
      </c>
      <c r="S17" s="503">
        <v>20</v>
      </c>
      <c r="T17" s="503"/>
      <c r="U17" s="503"/>
      <c r="V17" s="503">
        <v>15</v>
      </c>
      <c r="W17" s="503"/>
      <c r="X17" s="503">
        <v>3</v>
      </c>
      <c r="Y17" s="502">
        <f t="shared" ref="Y17:Y20" si="5">SUM(Z17:AC17)</f>
        <v>75</v>
      </c>
      <c r="Z17" s="502">
        <f t="shared" ref="Z17:Z20" si="6">SUM(G17,P17)</f>
        <v>20</v>
      </c>
      <c r="AA17" s="502">
        <f t="shared" ref="AA17:AA20" si="7">SUM(I17,R17)</f>
        <v>30</v>
      </c>
      <c r="AB17" s="502">
        <f t="shared" ref="AB17:AB20" si="8">SUM(K17,T17)</f>
        <v>0</v>
      </c>
      <c r="AC17" s="502">
        <f t="shared" ref="AC17:AC20" si="9">SUM(M17,V17)</f>
        <v>25</v>
      </c>
      <c r="AD17" s="502">
        <f t="shared" ref="AD17:AD20" si="10">SUM(G17:N17,P17:W17)</f>
        <v>150</v>
      </c>
      <c r="AE17" s="502">
        <f>SUM(O17,X17)</f>
        <v>6</v>
      </c>
    </row>
    <row r="18" spans="1:31" s="293" customFormat="1" ht="21.75" customHeight="1">
      <c r="A18" s="501" t="s">
        <v>523</v>
      </c>
      <c r="B18" s="505" t="s">
        <v>43</v>
      </c>
      <c r="C18" s="507" t="s">
        <v>525</v>
      </c>
      <c r="D18" s="508">
        <v>4</v>
      </c>
      <c r="E18" s="508">
        <v>4</v>
      </c>
      <c r="F18" s="508"/>
      <c r="G18" s="506"/>
      <c r="H18" s="506"/>
      <c r="I18" s="506"/>
      <c r="J18" s="506"/>
      <c r="K18" s="506"/>
      <c r="L18" s="506"/>
      <c r="M18" s="506"/>
      <c r="N18" s="506"/>
      <c r="O18" s="506"/>
      <c r="P18" s="503">
        <v>15</v>
      </c>
      <c r="Q18" s="503">
        <v>10</v>
      </c>
      <c r="R18" s="503">
        <v>10</v>
      </c>
      <c r="S18" s="503">
        <v>5</v>
      </c>
      <c r="T18" s="503"/>
      <c r="U18" s="503"/>
      <c r="V18" s="503">
        <v>10</v>
      </c>
      <c r="W18" s="503"/>
      <c r="X18" s="503">
        <v>2</v>
      </c>
      <c r="Y18" s="502">
        <f t="shared" si="5"/>
        <v>35</v>
      </c>
      <c r="Z18" s="502">
        <f t="shared" si="6"/>
        <v>15</v>
      </c>
      <c r="AA18" s="502">
        <f t="shared" si="7"/>
        <v>10</v>
      </c>
      <c r="AB18" s="502">
        <f t="shared" si="8"/>
        <v>0</v>
      </c>
      <c r="AC18" s="502">
        <f t="shared" si="9"/>
        <v>10</v>
      </c>
      <c r="AD18" s="502">
        <f t="shared" si="10"/>
        <v>50</v>
      </c>
      <c r="AE18" s="502">
        <f>SUM(O18,X18)</f>
        <v>2</v>
      </c>
    </row>
    <row r="19" spans="1:31" ht="21.75" customHeight="1">
      <c r="A19" s="360" t="s">
        <v>258</v>
      </c>
      <c r="B19" s="14" t="s">
        <v>44</v>
      </c>
      <c r="C19" s="311" t="str">
        <f>' razem plan'!C23</f>
        <v>0912-7LEK-C3,4-I</v>
      </c>
      <c r="D19" s="313">
        <v>4</v>
      </c>
      <c r="E19" s="313">
        <v>4</v>
      </c>
      <c r="F19" s="313"/>
      <c r="G19" s="54"/>
      <c r="H19" s="54"/>
      <c r="I19" s="54"/>
      <c r="J19" s="54"/>
      <c r="K19" s="54"/>
      <c r="L19" s="54"/>
      <c r="M19" s="54"/>
      <c r="N19" s="54"/>
      <c r="O19" s="54"/>
      <c r="P19" s="55">
        <v>15</v>
      </c>
      <c r="Q19" s="55">
        <v>10</v>
      </c>
      <c r="R19" s="55">
        <v>10</v>
      </c>
      <c r="S19" s="55">
        <v>25</v>
      </c>
      <c r="T19" s="55"/>
      <c r="U19" s="55"/>
      <c r="V19" s="55">
        <v>15</v>
      </c>
      <c r="W19" s="55"/>
      <c r="X19" s="55">
        <v>3</v>
      </c>
      <c r="Y19" s="44">
        <f t="shared" si="5"/>
        <v>40</v>
      </c>
      <c r="Z19" s="44">
        <f t="shared" si="6"/>
        <v>15</v>
      </c>
      <c r="AA19" s="44">
        <f t="shared" si="7"/>
        <v>10</v>
      </c>
      <c r="AB19" s="44">
        <f t="shared" si="8"/>
        <v>0</v>
      </c>
      <c r="AC19" s="44">
        <f t="shared" si="9"/>
        <v>15</v>
      </c>
      <c r="AD19" s="44">
        <f t="shared" si="10"/>
        <v>75</v>
      </c>
      <c r="AE19" s="44">
        <f>SUM(O19,X19)</f>
        <v>3</v>
      </c>
    </row>
    <row r="20" spans="1:31" ht="21.75" customHeight="1">
      <c r="A20" s="360" t="s">
        <v>524</v>
      </c>
      <c r="B20" s="41" t="s">
        <v>126</v>
      </c>
      <c r="C20" s="311" t="str">
        <f>' razem plan'!C26</f>
        <v>0912-7LEK-C3.6-ZS</v>
      </c>
      <c r="D20" s="313"/>
      <c r="E20" s="313">
        <v>4</v>
      </c>
      <c r="F20" s="313"/>
      <c r="G20" s="54"/>
      <c r="H20" s="54"/>
      <c r="I20" s="54"/>
      <c r="J20" s="54"/>
      <c r="K20" s="54"/>
      <c r="L20" s="54"/>
      <c r="M20" s="54"/>
      <c r="N20" s="54"/>
      <c r="O20" s="54"/>
      <c r="P20" s="55">
        <v>15</v>
      </c>
      <c r="Q20" s="55">
        <v>10</v>
      </c>
      <c r="R20" s="55"/>
      <c r="S20" s="55"/>
      <c r="T20" s="55"/>
      <c r="U20" s="55"/>
      <c r="V20" s="55"/>
      <c r="W20" s="55"/>
      <c r="X20" s="55">
        <v>1</v>
      </c>
      <c r="Y20" s="44">
        <f t="shared" si="5"/>
        <v>15</v>
      </c>
      <c r="Z20" s="44">
        <f t="shared" si="6"/>
        <v>15</v>
      </c>
      <c r="AA20" s="44">
        <f t="shared" si="7"/>
        <v>0</v>
      </c>
      <c r="AB20" s="44">
        <f t="shared" si="8"/>
        <v>0</v>
      </c>
      <c r="AC20" s="44">
        <f t="shared" si="9"/>
        <v>0</v>
      </c>
      <c r="AD20" s="44">
        <f t="shared" si="10"/>
        <v>25</v>
      </c>
      <c r="AE20" s="44">
        <v>1</v>
      </c>
    </row>
    <row r="21" spans="1:31" ht="15.75">
      <c r="A21" s="580" t="s">
        <v>9</v>
      </c>
      <c r="B21" s="581"/>
      <c r="C21" s="581"/>
      <c r="D21" s="581"/>
      <c r="E21" s="581"/>
      <c r="F21" s="582"/>
      <c r="G21" s="61">
        <f t="shared" ref="G21:AE21" si="11">SUM(G16:G20)</f>
        <v>25</v>
      </c>
      <c r="H21" s="61">
        <f t="shared" si="11"/>
        <v>25</v>
      </c>
      <c r="I21" s="61">
        <f t="shared" si="11"/>
        <v>35</v>
      </c>
      <c r="J21" s="61">
        <f t="shared" si="11"/>
        <v>30</v>
      </c>
      <c r="K21" s="61">
        <f t="shared" si="11"/>
        <v>0</v>
      </c>
      <c r="L21" s="61">
        <f t="shared" si="11"/>
        <v>0</v>
      </c>
      <c r="M21" s="61">
        <f t="shared" si="11"/>
        <v>10</v>
      </c>
      <c r="N21" s="61">
        <f t="shared" si="11"/>
        <v>0</v>
      </c>
      <c r="O21" s="61">
        <f t="shared" si="11"/>
        <v>5</v>
      </c>
      <c r="P21" s="61">
        <f t="shared" si="11"/>
        <v>55</v>
      </c>
      <c r="Q21" s="61">
        <f t="shared" si="11"/>
        <v>45</v>
      </c>
      <c r="R21" s="61">
        <f t="shared" si="11"/>
        <v>35</v>
      </c>
      <c r="S21" s="61">
        <f t="shared" si="11"/>
        <v>50</v>
      </c>
      <c r="T21" s="61">
        <f t="shared" si="11"/>
        <v>0</v>
      </c>
      <c r="U21" s="61">
        <f t="shared" si="11"/>
        <v>0</v>
      </c>
      <c r="V21" s="61">
        <f t="shared" si="11"/>
        <v>40</v>
      </c>
      <c r="W21" s="61">
        <f t="shared" si="11"/>
        <v>0</v>
      </c>
      <c r="X21" s="61">
        <f t="shared" si="11"/>
        <v>9</v>
      </c>
      <c r="Y21" s="61">
        <f t="shared" si="11"/>
        <v>200</v>
      </c>
      <c r="Z21" s="61">
        <f t="shared" si="11"/>
        <v>80</v>
      </c>
      <c r="AA21" s="61">
        <f t="shared" si="11"/>
        <v>70</v>
      </c>
      <c r="AB21" s="61">
        <f t="shared" si="11"/>
        <v>0</v>
      </c>
      <c r="AC21" s="61">
        <f t="shared" si="11"/>
        <v>50</v>
      </c>
      <c r="AD21" s="61">
        <f t="shared" si="11"/>
        <v>350</v>
      </c>
      <c r="AE21" s="61">
        <f t="shared" si="11"/>
        <v>14</v>
      </c>
    </row>
    <row r="22" spans="1:31" ht="15.75">
      <c r="A22" s="649" t="s">
        <v>381</v>
      </c>
      <c r="B22" s="650"/>
      <c r="C22" s="650"/>
      <c r="D22" s="650"/>
      <c r="E22" s="650"/>
      <c r="F22" s="650"/>
      <c r="G22" s="650"/>
      <c r="H22" s="650"/>
      <c r="I22" s="650"/>
      <c r="J22" s="650"/>
      <c r="K22" s="650"/>
      <c r="L22" s="650"/>
      <c r="M22" s="650"/>
      <c r="N22" s="650"/>
      <c r="O22" s="650"/>
      <c r="P22" s="650"/>
      <c r="Q22" s="650"/>
      <c r="R22" s="650"/>
      <c r="S22" s="650"/>
      <c r="T22" s="650"/>
      <c r="U22" s="650"/>
      <c r="V22" s="650"/>
      <c r="W22" s="650"/>
      <c r="X22" s="650"/>
      <c r="Y22" s="650"/>
      <c r="Z22" s="650"/>
      <c r="AA22" s="650"/>
      <c r="AB22" s="650"/>
      <c r="AC22" s="650"/>
      <c r="AD22" s="650"/>
      <c r="AE22" s="651"/>
    </row>
    <row r="23" spans="1:31" ht="23.25" customHeight="1">
      <c r="A23" s="364" t="s">
        <v>308</v>
      </c>
      <c r="B23" s="14" t="s">
        <v>17</v>
      </c>
      <c r="C23" s="311" t="s">
        <v>306</v>
      </c>
      <c r="D23" s="469">
        <v>4</v>
      </c>
      <c r="E23" s="469" t="s">
        <v>230</v>
      </c>
      <c r="F23" s="469"/>
      <c r="G23" s="54"/>
      <c r="H23" s="54"/>
      <c r="I23" s="54">
        <v>30</v>
      </c>
      <c r="J23" s="54">
        <v>15</v>
      </c>
      <c r="K23" s="54"/>
      <c r="L23" s="54"/>
      <c r="M23" s="54"/>
      <c r="N23" s="54"/>
      <c r="O23" s="54">
        <v>1.5</v>
      </c>
      <c r="P23" s="468"/>
      <c r="Q23" s="468"/>
      <c r="R23" s="468">
        <v>30</v>
      </c>
      <c r="S23" s="468">
        <v>15</v>
      </c>
      <c r="T23" s="468"/>
      <c r="U23" s="468"/>
      <c r="V23" s="468"/>
      <c r="W23" s="468"/>
      <c r="X23" s="468">
        <v>1.5</v>
      </c>
      <c r="Y23" s="469">
        <f>SUM(Z23:AC23)</f>
        <v>60</v>
      </c>
      <c r="Z23" s="469">
        <f>SUM(G23,P23)</f>
        <v>0</v>
      </c>
      <c r="AA23" s="469">
        <f>SUM(I23,R23)</f>
        <v>60</v>
      </c>
      <c r="AB23" s="469">
        <f>SUM(K23,T23)</f>
        <v>0</v>
      </c>
      <c r="AC23" s="469">
        <f>SUM(M23,V23)</f>
        <v>0</v>
      </c>
      <c r="AD23" s="469">
        <f>SUM(G23:N23,P23:W23)</f>
        <v>90</v>
      </c>
      <c r="AE23" s="469">
        <f>O23+X23</f>
        <v>3</v>
      </c>
    </row>
    <row r="24" spans="1:31" ht="29.25" customHeight="1">
      <c r="A24" s="365">
        <v>4.7</v>
      </c>
      <c r="B24" s="14" t="s">
        <v>309</v>
      </c>
      <c r="C24" s="311" t="s">
        <v>374</v>
      </c>
      <c r="D24" s="469"/>
      <c r="E24" s="469">
        <v>4</v>
      </c>
      <c r="F24" s="469"/>
      <c r="G24" s="54"/>
      <c r="H24" s="54"/>
      <c r="I24" s="54"/>
      <c r="J24" s="54"/>
      <c r="K24" s="54"/>
      <c r="L24" s="54"/>
      <c r="M24" s="54"/>
      <c r="N24" s="54"/>
      <c r="O24" s="54"/>
      <c r="P24" s="468">
        <v>20</v>
      </c>
      <c r="Q24" s="468">
        <v>5</v>
      </c>
      <c r="R24" s="468">
        <v>10</v>
      </c>
      <c r="S24" s="468">
        <v>15</v>
      </c>
      <c r="T24" s="468"/>
      <c r="U24" s="468"/>
      <c r="V24" s="468"/>
      <c r="W24" s="468"/>
      <c r="X24" s="468">
        <v>2</v>
      </c>
      <c r="Y24" s="469">
        <f>SUM(Z24:AC24)</f>
        <v>30</v>
      </c>
      <c r="Z24" s="469">
        <f>SUM(G24,P24)</f>
        <v>20</v>
      </c>
      <c r="AA24" s="469">
        <f>SUM(I24,R24)</f>
        <v>10</v>
      </c>
      <c r="AB24" s="469">
        <f>SUM(K24,T24)</f>
        <v>0</v>
      </c>
      <c r="AC24" s="469">
        <f>SUM(M24,V24)</f>
        <v>0</v>
      </c>
      <c r="AD24" s="469">
        <f>SUM(G24:N24,P24:W24)</f>
        <v>50</v>
      </c>
      <c r="AE24" s="469">
        <f>O24+X24</f>
        <v>2</v>
      </c>
    </row>
    <row r="25" spans="1:31" ht="15.75" customHeight="1">
      <c r="A25" s="646" t="s">
        <v>9</v>
      </c>
      <c r="B25" s="647"/>
      <c r="C25" s="647"/>
      <c r="D25" s="647"/>
      <c r="E25" s="647"/>
      <c r="F25" s="648"/>
      <c r="G25" s="366">
        <f t="shared" ref="G25:AE25" si="12">SUM(G23:G24)</f>
        <v>0</v>
      </c>
      <c r="H25" s="366">
        <f t="shared" si="12"/>
        <v>0</v>
      </c>
      <c r="I25" s="366">
        <f t="shared" si="12"/>
        <v>30</v>
      </c>
      <c r="J25" s="366">
        <f t="shared" si="12"/>
        <v>15</v>
      </c>
      <c r="K25" s="366">
        <f t="shared" si="12"/>
        <v>0</v>
      </c>
      <c r="L25" s="366">
        <f t="shared" si="12"/>
        <v>0</v>
      </c>
      <c r="M25" s="366">
        <f t="shared" si="12"/>
        <v>0</v>
      </c>
      <c r="N25" s="366">
        <f t="shared" si="12"/>
        <v>0</v>
      </c>
      <c r="O25" s="367">
        <f t="shared" si="12"/>
        <v>1.5</v>
      </c>
      <c r="P25" s="367">
        <f t="shared" si="12"/>
        <v>20</v>
      </c>
      <c r="Q25" s="367">
        <f t="shared" si="12"/>
        <v>5</v>
      </c>
      <c r="R25" s="367">
        <f t="shared" si="12"/>
        <v>40</v>
      </c>
      <c r="S25" s="367">
        <f t="shared" si="12"/>
        <v>30</v>
      </c>
      <c r="T25" s="367">
        <f t="shared" si="12"/>
        <v>0</v>
      </c>
      <c r="U25" s="367">
        <f t="shared" si="12"/>
        <v>0</v>
      </c>
      <c r="V25" s="367">
        <f t="shared" si="12"/>
        <v>0</v>
      </c>
      <c r="W25" s="367">
        <f t="shared" si="12"/>
        <v>0</v>
      </c>
      <c r="X25" s="367">
        <f t="shared" si="12"/>
        <v>3.5</v>
      </c>
      <c r="Y25" s="368">
        <f t="shared" si="12"/>
        <v>90</v>
      </c>
      <c r="Z25" s="368">
        <f t="shared" si="12"/>
        <v>20</v>
      </c>
      <c r="AA25" s="368">
        <f t="shared" si="12"/>
        <v>70</v>
      </c>
      <c r="AB25" s="368">
        <f t="shared" si="12"/>
        <v>0</v>
      </c>
      <c r="AC25" s="368">
        <f t="shared" si="12"/>
        <v>0</v>
      </c>
      <c r="AD25" s="368">
        <f t="shared" si="12"/>
        <v>140</v>
      </c>
      <c r="AE25" s="368">
        <f t="shared" si="12"/>
        <v>5</v>
      </c>
    </row>
    <row r="26" spans="1:31" ht="15.75">
      <c r="A26" s="316" t="s">
        <v>392</v>
      </c>
      <c r="B26" s="317"/>
      <c r="C26" s="318"/>
      <c r="D26" s="362"/>
      <c r="E26" s="362"/>
      <c r="F26" s="362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63"/>
    </row>
    <row r="27" spans="1:31" ht="22.5" customHeight="1">
      <c r="A27" s="57">
        <v>7.1</v>
      </c>
      <c r="B27" s="369" t="s">
        <v>75</v>
      </c>
      <c r="C27" s="370" t="str">
        <f>RAZEM!C64</f>
        <v>0912-7LEK-C7,1-H</v>
      </c>
      <c r="D27" s="313"/>
      <c r="E27" s="313">
        <v>3</v>
      </c>
      <c r="F27" s="313"/>
      <c r="G27" s="54">
        <v>15</v>
      </c>
      <c r="H27" s="54">
        <v>10</v>
      </c>
      <c r="I27" s="54"/>
      <c r="J27" s="54"/>
      <c r="K27" s="54"/>
      <c r="L27" s="54"/>
      <c r="M27" s="54"/>
      <c r="N27" s="54"/>
      <c r="O27" s="54">
        <v>1</v>
      </c>
      <c r="P27" s="55"/>
      <c r="Q27" s="55"/>
      <c r="R27" s="55"/>
      <c r="S27" s="55"/>
      <c r="T27" s="55"/>
      <c r="U27" s="55"/>
      <c r="V27" s="55"/>
      <c r="W27" s="55"/>
      <c r="X27" s="55"/>
      <c r="Y27" s="44">
        <f>SUM(Z27:AC27)</f>
        <v>15</v>
      </c>
      <c r="Z27" s="44">
        <f>SUM(G27,P27)</f>
        <v>15</v>
      </c>
      <c r="AA27" s="44">
        <f>SUM(I27,R27)</f>
        <v>0</v>
      </c>
      <c r="AB27" s="44">
        <f>SUM(K27,T27)</f>
        <v>0</v>
      </c>
      <c r="AC27" s="44">
        <f>SUM(M27,V27)</f>
        <v>0</v>
      </c>
      <c r="AD27" s="44">
        <f>SUM(G27:N27,P27:W27)</f>
        <v>25</v>
      </c>
      <c r="AE27" s="44">
        <f>SUM(O27,X27)</f>
        <v>1</v>
      </c>
    </row>
    <row r="28" spans="1:31" ht="22.5" customHeight="1">
      <c r="A28" s="57">
        <v>7.2</v>
      </c>
      <c r="B28" s="369" t="s">
        <v>76</v>
      </c>
      <c r="C28" s="370" t="str">
        <f>RAZEM!C65</f>
        <v>0912-7LEK-C7,2-E</v>
      </c>
      <c r="D28" s="313"/>
      <c r="E28" s="313">
        <v>3</v>
      </c>
      <c r="F28" s="313"/>
      <c r="G28" s="54">
        <v>15</v>
      </c>
      <c r="H28" s="54">
        <v>10</v>
      </c>
      <c r="I28" s="54"/>
      <c r="J28" s="54"/>
      <c r="K28" s="54"/>
      <c r="L28" s="54"/>
      <c r="M28" s="54"/>
      <c r="N28" s="54"/>
      <c r="O28" s="54">
        <v>1</v>
      </c>
      <c r="P28" s="55"/>
      <c r="Q28" s="55"/>
      <c r="R28" s="55"/>
      <c r="S28" s="55"/>
      <c r="T28" s="55"/>
      <c r="U28" s="55"/>
      <c r="V28" s="55"/>
      <c r="W28" s="55"/>
      <c r="X28" s="55"/>
      <c r="Y28" s="44">
        <f t="shared" ref="Y28:Y29" si="13">SUM(Z28:AC28)</f>
        <v>15</v>
      </c>
      <c r="Z28" s="44">
        <f t="shared" ref="Z28:Z29" si="14">SUM(G28,P28)</f>
        <v>15</v>
      </c>
      <c r="AA28" s="44">
        <f t="shared" ref="AA28:AA29" si="15">SUM(I28,R28)</f>
        <v>0</v>
      </c>
      <c r="AB28" s="44">
        <f t="shared" ref="AB28:AB29" si="16">SUM(K28,T28)</f>
        <v>0</v>
      </c>
      <c r="AC28" s="44">
        <f>SUM(M28,V28)</f>
        <v>0</v>
      </c>
      <c r="AD28" s="44">
        <f>SUM(G28:N28,P28:W28)</f>
        <v>25</v>
      </c>
      <c r="AE28" s="44">
        <f>SUM(O28,X28)</f>
        <v>1</v>
      </c>
    </row>
    <row r="29" spans="1:31" ht="22.5" customHeight="1">
      <c r="A29" s="371">
        <v>7.3</v>
      </c>
      <c r="B29" s="369" t="s">
        <v>77</v>
      </c>
      <c r="C29" s="370" t="str">
        <f>RAZEM!C66</f>
        <v>0912-7LEK-C7,3-Z</v>
      </c>
      <c r="D29" s="372"/>
      <c r="E29" s="372">
        <v>4</v>
      </c>
      <c r="F29" s="372"/>
      <c r="G29" s="373"/>
      <c r="H29" s="373"/>
      <c r="I29" s="373"/>
      <c r="J29" s="373"/>
      <c r="K29" s="373"/>
      <c r="L29" s="373"/>
      <c r="M29" s="373"/>
      <c r="N29" s="373"/>
      <c r="O29" s="373"/>
      <c r="P29" s="55">
        <v>15</v>
      </c>
      <c r="Q29" s="55">
        <v>10</v>
      </c>
      <c r="R29" s="55"/>
      <c r="S29" s="55"/>
      <c r="T29" s="55"/>
      <c r="U29" s="55"/>
      <c r="V29" s="55"/>
      <c r="W29" s="55"/>
      <c r="X29" s="55">
        <v>1</v>
      </c>
      <c r="Y29" s="44">
        <f t="shared" si="13"/>
        <v>15</v>
      </c>
      <c r="Z29" s="44">
        <f t="shared" si="14"/>
        <v>15</v>
      </c>
      <c r="AA29" s="44">
        <f t="shared" si="15"/>
        <v>0</v>
      </c>
      <c r="AB29" s="44">
        <f t="shared" si="16"/>
        <v>0</v>
      </c>
      <c r="AC29" s="44">
        <f>SUM(M29,V29)</f>
        <v>0</v>
      </c>
      <c r="AD29" s="44">
        <f>SUM(G29:N29,P29:W29)</f>
        <v>25</v>
      </c>
      <c r="AE29" s="44">
        <f>SUM(O29,X29)</f>
        <v>1</v>
      </c>
    </row>
    <row r="30" spans="1:31" ht="15.75">
      <c r="A30" s="580" t="s">
        <v>9</v>
      </c>
      <c r="B30" s="581"/>
      <c r="C30" s="581"/>
      <c r="D30" s="581"/>
      <c r="E30" s="581"/>
      <c r="F30" s="582"/>
      <c r="G30" s="61">
        <f>SUM(G27:G29)</f>
        <v>30</v>
      </c>
      <c r="H30" s="61">
        <f t="shared" ref="H30:X30" si="17">SUM(H27:H29)</f>
        <v>20</v>
      </c>
      <c r="I30" s="61">
        <f t="shared" si="17"/>
        <v>0</v>
      </c>
      <c r="J30" s="61">
        <f t="shared" si="17"/>
        <v>0</v>
      </c>
      <c r="K30" s="61">
        <f t="shared" si="17"/>
        <v>0</v>
      </c>
      <c r="L30" s="61">
        <f t="shared" si="17"/>
        <v>0</v>
      </c>
      <c r="M30" s="61">
        <f t="shared" si="17"/>
        <v>0</v>
      </c>
      <c r="N30" s="61">
        <f t="shared" si="17"/>
        <v>0</v>
      </c>
      <c r="O30" s="61">
        <f t="shared" si="17"/>
        <v>2</v>
      </c>
      <c r="P30" s="61">
        <f t="shared" si="17"/>
        <v>15</v>
      </c>
      <c r="Q30" s="61">
        <f t="shared" si="17"/>
        <v>10</v>
      </c>
      <c r="R30" s="61">
        <f t="shared" si="17"/>
        <v>0</v>
      </c>
      <c r="S30" s="61">
        <f t="shared" si="17"/>
        <v>0</v>
      </c>
      <c r="T30" s="61">
        <f t="shared" si="17"/>
        <v>0</v>
      </c>
      <c r="U30" s="61">
        <f t="shared" si="17"/>
        <v>0</v>
      </c>
      <c r="V30" s="61">
        <f t="shared" si="17"/>
        <v>0</v>
      </c>
      <c r="W30" s="61">
        <f t="shared" si="17"/>
        <v>0</v>
      </c>
      <c r="X30" s="61">
        <f t="shared" si="17"/>
        <v>1</v>
      </c>
      <c r="Y30" s="61">
        <f>SUM(Y27:Y29)</f>
        <v>45</v>
      </c>
      <c r="Z30" s="61">
        <f t="shared" ref="Z30:AE30" si="18">SUM(Z27:Z29)</f>
        <v>45</v>
      </c>
      <c r="AA30" s="61">
        <f t="shared" si="18"/>
        <v>0</v>
      </c>
      <c r="AB30" s="61">
        <f t="shared" si="18"/>
        <v>0</v>
      </c>
      <c r="AC30" s="61">
        <f t="shared" si="18"/>
        <v>0</v>
      </c>
      <c r="AD30" s="61">
        <f t="shared" si="18"/>
        <v>75</v>
      </c>
      <c r="AE30" s="61">
        <f t="shared" si="18"/>
        <v>3</v>
      </c>
    </row>
    <row r="31" spans="1:31" ht="20.25" customHeight="1">
      <c r="A31" s="316" t="s">
        <v>385</v>
      </c>
      <c r="B31" s="317"/>
      <c r="C31" s="318"/>
      <c r="D31" s="362"/>
      <c r="E31" s="362"/>
      <c r="F31" s="362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63"/>
    </row>
    <row r="32" spans="1:31" ht="20.25" customHeight="1">
      <c r="A32" s="57" t="s">
        <v>304</v>
      </c>
      <c r="B32" s="41" t="s">
        <v>227</v>
      </c>
      <c r="C32" s="311" t="str">
        <f>"0912-7LEK-C"&amp;A32&amp;"-"&amp;UPPER(LEFT(B32,1))&amp;"O"</f>
        <v>0912-7LEK-C8,1-LO</v>
      </c>
      <c r="D32" s="313"/>
      <c r="E32" s="313">
        <v>4</v>
      </c>
      <c r="F32" s="313"/>
      <c r="G32" s="54"/>
      <c r="H32" s="54"/>
      <c r="I32" s="54"/>
      <c r="J32" s="54"/>
      <c r="K32" s="54"/>
      <c r="L32" s="54"/>
      <c r="M32" s="54"/>
      <c r="N32" s="54"/>
      <c r="O32" s="54"/>
      <c r="P32" s="55"/>
      <c r="Q32" s="55"/>
      <c r="R32" s="55"/>
      <c r="S32" s="55"/>
      <c r="T32" s="55">
        <v>90</v>
      </c>
      <c r="U32" s="55"/>
      <c r="V32" s="55"/>
      <c r="W32" s="55"/>
      <c r="X32" s="55">
        <v>3</v>
      </c>
      <c r="Y32" s="44">
        <f>SUM(Z32:AC32)</f>
        <v>90</v>
      </c>
      <c r="Z32" s="44">
        <f>SUM(G32,P32)</f>
        <v>0</v>
      </c>
      <c r="AA32" s="44">
        <f>SUM(I32,R32)</f>
        <v>0</v>
      </c>
      <c r="AB32" s="44">
        <f>SUM(K32,T32)</f>
        <v>90</v>
      </c>
      <c r="AC32" s="44">
        <f>SUM(M32,V32)</f>
        <v>0</v>
      </c>
      <c r="AD32" s="44">
        <f>SUM(G32:N32,P32:W32)</f>
        <v>90</v>
      </c>
      <c r="AE32" s="44">
        <f>SUM(O32,X32)</f>
        <v>3</v>
      </c>
    </row>
    <row r="33" spans="1:31" ht="20.25" customHeight="1">
      <c r="A33" s="57" t="s">
        <v>305</v>
      </c>
      <c r="B33" s="41" t="s">
        <v>85</v>
      </c>
      <c r="C33" s="311" t="str">
        <f>"0912-7LEK-C"&amp;A33&amp;"-"&amp;UPPER(LEFT(B33,1))&amp;"D"</f>
        <v>0912-7LEK-C8,2-PD</v>
      </c>
      <c r="D33" s="313"/>
      <c r="E33" s="313">
        <v>4</v>
      </c>
      <c r="F33" s="313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55"/>
      <c r="R33" s="55"/>
      <c r="S33" s="55"/>
      <c r="T33" s="55">
        <v>30</v>
      </c>
      <c r="U33" s="55"/>
      <c r="V33" s="55"/>
      <c r="W33" s="55"/>
      <c r="X33" s="55">
        <v>1</v>
      </c>
      <c r="Y33" s="44">
        <f>SUM(Z33:AC33)</f>
        <v>30</v>
      </c>
      <c r="Z33" s="44">
        <f>SUM(G33,P33)</f>
        <v>0</v>
      </c>
      <c r="AA33" s="44">
        <f>SUM(I33,R33)</f>
        <v>0</v>
      </c>
      <c r="AB33" s="44">
        <f>SUM(K33,T33)</f>
        <v>30</v>
      </c>
      <c r="AC33" s="44">
        <f>SUM(M33,V33)</f>
        <v>0</v>
      </c>
      <c r="AD33" s="44">
        <f>SUM(G33:N33,P33:W33)</f>
        <v>30</v>
      </c>
      <c r="AE33" s="44">
        <f>SUM(O33,X33)</f>
        <v>1</v>
      </c>
    </row>
    <row r="34" spans="1:31" ht="15.75">
      <c r="A34" s="580" t="s">
        <v>9</v>
      </c>
      <c r="B34" s="581"/>
      <c r="C34" s="581"/>
      <c r="D34" s="581"/>
      <c r="E34" s="581"/>
      <c r="F34" s="582"/>
      <c r="G34" s="61">
        <f t="shared" ref="G34:X34" si="19">SUM(G32:G33)</f>
        <v>0</v>
      </c>
      <c r="H34" s="61">
        <f t="shared" si="19"/>
        <v>0</v>
      </c>
      <c r="I34" s="61">
        <f t="shared" si="19"/>
        <v>0</v>
      </c>
      <c r="J34" s="61">
        <f t="shared" si="19"/>
        <v>0</v>
      </c>
      <c r="K34" s="61">
        <f t="shared" si="19"/>
        <v>0</v>
      </c>
      <c r="L34" s="61">
        <f t="shared" si="19"/>
        <v>0</v>
      </c>
      <c r="M34" s="61">
        <f t="shared" si="19"/>
        <v>0</v>
      </c>
      <c r="N34" s="61">
        <f t="shared" si="19"/>
        <v>0</v>
      </c>
      <c r="O34" s="61">
        <f t="shared" si="19"/>
        <v>0</v>
      </c>
      <c r="P34" s="61">
        <f t="shared" si="19"/>
        <v>0</v>
      </c>
      <c r="Q34" s="61">
        <f t="shared" si="19"/>
        <v>0</v>
      </c>
      <c r="R34" s="61">
        <f t="shared" si="19"/>
        <v>0</v>
      </c>
      <c r="S34" s="61">
        <f t="shared" si="19"/>
        <v>0</v>
      </c>
      <c r="T34" s="61">
        <f t="shared" si="19"/>
        <v>120</v>
      </c>
      <c r="U34" s="61">
        <f t="shared" si="19"/>
        <v>0</v>
      </c>
      <c r="V34" s="61">
        <f t="shared" si="19"/>
        <v>0</v>
      </c>
      <c r="W34" s="61">
        <f t="shared" si="19"/>
        <v>0</v>
      </c>
      <c r="X34" s="61">
        <f t="shared" si="19"/>
        <v>4</v>
      </c>
      <c r="Y34" s="61">
        <f t="shared" ref="Y34:AE34" si="20">SUM(Y32:Y33)</f>
        <v>120</v>
      </c>
      <c r="Z34" s="61">
        <f t="shared" si="20"/>
        <v>0</v>
      </c>
      <c r="AA34" s="61">
        <f t="shared" si="20"/>
        <v>0</v>
      </c>
      <c r="AB34" s="61">
        <f t="shared" si="20"/>
        <v>120</v>
      </c>
      <c r="AC34" s="61">
        <f t="shared" si="20"/>
        <v>0</v>
      </c>
      <c r="AD34" s="61">
        <f t="shared" si="20"/>
        <v>120</v>
      </c>
      <c r="AE34" s="61">
        <f t="shared" si="20"/>
        <v>4</v>
      </c>
    </row>
    <row r="35" spans="1:31" ht="15.75">
      <c r="A35" s="316" t="s">
        <v>382</v>
      </c>
      <c r="B35" s="317"/>
      <c r="C35" s="318"/>
      <c r="D35" s="362"/>
      <c r="E35" s="362"/>
      <c r="F35" s="362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63"/>
    </row>
    <row r="36" spans="1:31" ht="18" customHeight="1">
      <c r="A36" s="640"/>
      <c r="B36" s="642" t="s">
        <v>377</v>
      </c>
      <c r="C36" s="643"/>
      <c r="D36" s="374"/>
      <c r="E36" s="375">
        <v>3</v>
      </c>
      <c r="F36" s="374"/>
      <c r="G36" s="376"/>
      <c r="H36" s="377"/>
      <c r="I36" s="377">
        <v>25</v>
      </c>
      <c r="J36" s="377">
        <v>25</v>
      </c>
      <c r="K36" s="377"/>
      <c r="L36" s="377"/>
      <c r="M36" s="377"/>
      <c r="N36" s="377"/>
      <c r="O36" s="377">
        <v>2</v>
      </c>
      <c r="P36" s="378"/>
      <c r="Q36" s="378"/>
      <c r="R36" s="378"/>
      <c r="S36" s="378"/>
      <c r="T36" s="378"/>
      <c r="U36" s="378"/>
      <c r="V36" s="378"/>
      <c r="W36" s="378"/>
      <c r="X36" s="378"/>
      <c r="Y36" s="379">
        <f t="shared" ref="Y36:Y37" si="21">SUM(Z36:AC36)</f>
        <v>25</v>
      </c>
      <c r="Z36" s="379">
        <f t="shared" ref="Z36:Z37" si="22">SUM(G36,P36)</f>
        <v>0</v>
      </c>
      <c r="AA36" s="379">
        <f t="shared" ref="AA36:AA37" si="23">SUM(I36,R36)</f>
        <v>25</v>
      </c>
      <c r="AB36" s="379">
        <f t="shared" ref="AB36:AB37" si="24">SUM(K36,T36)</f>
        <v>0</v>
      </c>
      <c r="AC36" s="379">
        <f>SUM(M36,V36)</f>
        <v>0</v>
      </c>
      <c r="AD36" s="379">
        <f>SUM(G36:N36,P36:W36)</f>
        <v>50</v>
      </c>
      <c r="AE36" s="379">
        <f>SUM(O36,X36)</f>
        <v>2</v>
      </c>
    </row>
    <row r="37" spans="1:31" ht="15.75">
      <c r="A37" s="641"/>
      <c r="B37" s="644"/>
      <c r="C37" s="645"/>
      <c r="D37" s="374"/>
      <c r="E37" s="375">
        <v>4</v>
      </c>
      <c r="F37" s="374"/>
      <c r="G37" s="376"/>
      <c r="H37" s="377"/>
      <c r="I37" s="377"/>
      <c r="J37" s="377"/>
      <c r="K37" s="377"/>
      <c r="L37" s="377"/>
      <c r="M37" s="377"/>
      <c r="N37" s="377"/>
      <c r="O37" s="377"/>
      <c r="P37" s="378"/>
      <c r="Q37" s="378"/>
      <c r="R37" s="378">
        <v>25</v>
      </c>
      <c r="S37" s="378">
        <v>25</v>
      </c>
      <c r="T37" s="378"/>
      <c r="U37" s="378"/>
      <c r="V37" s="378"/>
      <c r="W37" s="378"/>
      <c r="X37" s="378">
        <v>2</v>
      </c>
      <c r="Y37" s="379">
        <f t="shared" si="21"/>
        <v>25</v>
      </c>
      <c r="Z37" s="379">
        <f t="shared" si="22"/>
        <v>0</v>
      </c>
      <c r="AA37" s="379">
        <f t="shared" si="23"/>
        <v>25</v>
      </c>
      <c r="AB37" s="379">
        <f t="shared" si="24"/>
        <v>0</v>
      </c>
      <c r="AC37" s="379">
        <f>SUM(M37,V37)</f>
        <v>0</v>
      </c>
      <c r="AD37" s="379">
        <f>SUM(G37:N37,P37:W37)</f>
        <v>50</v>
      </c>
      <c r="AE37" s="379">
        <f>SUM(O37,X37)</f>
        <v>2</v>
      </c>
    </row>
    <row r="38" spans="1:31" ht="15.75">
      <c r="A38" s="580" t="s">
        <v>9</v>
      </c>
      <c r="B38" s="581"/>
      <c r="C38" s="581"/>
      <c r="D38" s="581"/>
      <c r="E38" s="581"/>
      <c r="F38" s="582"/>
      <c r="G38" s="61">
        <f t="shared" ref="G38:AE38" si="25">SUM(G36:G37)</f>
        <v>0</v>
      </c>
      <c r="H38" s="61">
        <f t="shared" si="25"/>
        <v>0</v>
      </c>
      <c r="I38" s="61">
        <f t="shared" si="25"/>
        <v>25</v>
      </c>
      <c r="J38" s="61">
        <f t="shared" si="25"/>
        <v>25</v>
      </c>
      <c r="K38" s="61">
        <f t="shared" si="25"/>
        <v>0</v>
      </c>
      <c r="L38" s="61">
        <f t="shared" si="25"/>
        <v>0</v>
      </c>
      <c r="M38" s="61">
        <f t="shared" si="25"/>
        <v>0</v>
      </c>
      <c r="N38" s="61">
        <f t="shared" si="25"/>
        <v>0</v>
      </c>
      <c r="O38" s="61">
        <f t="shared" si="25"/>
        <v>2</v>
      </c>
      <c r="P38" s="61">
        <f t="shared" si="25"/>
        <v>0</v>
      </c>
      <c r="Q38" s="61">
        <f t="shared" si="25"/>
        <v>0</v>
      </c>
      <c r="R38" s="61">
        <f t="shared" si="25"/>
        <v>25</v>
      </c>
      <c r="S38" s="61">
        <f t="shared" si="25"/>
        <v>25</v>
      </c>
      <c r="T38" s="61">
        <f t="shared" si="25"/>
        <v>0</v>
      </c>
      <c r="U38" s="61">
        <f t="shared" si="25"/>
        <v>0</v>
      </c>
      <c r="V38" s="61">
        <f t="shared" si="25"/>
        <v>0</v>
      </c>
      <c r="W38" s="61">
        <f t="shared" si="25"/>
        <v>0</v>
      </c>
      <c r="X38" s="61">
        <f t="shared" si="25"/>
        <v>2</v>
      </c>
      <c r="Y38" s="61">
        <f t="shared" si="25"/>
        <v>50</v>
      </c>
      <c r="Z38" s="61">
        <f t="shared" si="25"/>
        <v>0</v>
      </c>
      <c r="AA38" s="61">
        <f t="shared" si="25"/>
        <v>50</v>
      </c>
      <c r="AB38" s="61">
        <f t="shared" si="25"/>
        <v>0</v>
      </c>
      <c r="AC38" s="61">
        <f t="shared" si="25"/>
        <v>0</v>
      </c>
      <c r="AD38" s="61">
        <f t="shared" si="25"/>
        <v>100</v>
      </c>
      <c r="AE38" s="61">
        <f t="shared" si="25"/>
        <v>4</v>
      </c>
    </row>
    <row r="39" spans="1:31" ht="15.75">
      <c r="A39" s="316" t="s">
        <v>386</v>
      </c>
      <c r="B39" s="317"/>
      <c r="C39" s="318"/>
      <c r="D39" s="317"/>
      <c r="E39" s="317"/>
      <c r="F39" s="317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63"/>
    </row>
    <row r="40" spans="1:31" ht="15.75">
      <c r="A40" s="57" t="s">
        <v>234</v>
      </c>
      <c r="B40" s="583" t="s">
        <v>115</v>
      </c>
      <c r="C40" s="625"/>
      <c r="D40" s="312"/>
      <c r="E40" s="313">
        <v>3</v>
      </c>
      <c r="F40" s="313"/>
      <c r="G40" s="54"/>
      <c r="H40" s="54"/>
      <c r="I40" s="54">
        <v>20</v>
      </c>
      <c r="J40" s="54">
        <v>5</v>
      </c>
      <c r="K40" s="54"/>
      <c r="L40" s="54"/>
      <c r="M40" s="54"/>
      <c r="N40" s="54"/>
      <c r="O40" s="54">
        <v>1</v>
      </c>
      <c r="P40" s="55"/>
      <c r="Q40" s="55"/>
      <c r="R40" s="55"/>
      <c r="S40" s="55"/>
      <c r="T40" s="55"/>
      <c r="U40" s="55"/>
      <c r="V40" s="55"/>
      <c r="W40" s="55"/>
      <c r="X40" s="55"/>
      <c r="Y40" s="44">
        <f>SUM(Z40:AC40)</f>
        <v>20</v>
      </c>
      <c r="Z40" s="44">
        <f>SUM(G40,P40)</f>
        <v>0</v>
      </c>
      <c r="AA40" s="44">
        <f>SUM(I40,R40)</f>
        <v>20</v>
      </c>
      <c r="AB40" s="44">
        <f>SUM(K40,T40)</f>
        <v>0</v>
      </c>
      <c r="AC40" s="44">
        <f>SUM(M40,V40)</f>
        <v>0</v>
      </c>
      <c r="AD40" s="44">
        <f>SUM(G40:N40,P40:W40)</f>
        <v>25</v>
      </c>
      <c r="AE40" s="44">
        <f>SUM(O40,X40)</f>
        <v>1</v>
      </c>
    </row>
    <row r="41" spans="1:31" ht="15.75">
      <c r="A41" s="57" t="s">
        <v>139</v>
      </c>
      <c r="B41" s="583" t="s">
        <v>115</v>
      </c>
      <c r="C41" s="625"/>
      <c r="D41" s="312"/>
      <c r="E41" s="313">
        <v>3</v>
      </c>
      <c r="F41" s="313"/>
      <c r="G41" s="54">
        <v>15</v>
      </c>
      <c r="H41" s="54">
        <v>10</v>
      </c>
      <c r="I41" s="54"/>
      <c r="J41" s="54"/>
      <c r="K41" s="54"/>
      <c r="L41" s="54"/>
      <c r="M41" s="54"/>
      <c r="N41" s="54"/>
      <c r="O41" s="54">
        <v>1</v>
      </c>
      <c r="P41" s="55"/>
      <c r="Q41" s="55"/>
      <c r="R41" s="55"/>
      <c r="S41" s="55"/>
      <c r="T41" s="55"/>
      <c r="U41" s="55"/>
      <c r="V41" s="55"/>
      <c r="W41" s="55"/>
      <c r="X41" s="55"/>
      <c r="Y41" s="44">
        <f t="shared" ref="Y41:Y44" si="26">SUM(Z41:AC41)</f>
        <v>15</v>
      </c>
      <c r="Z41" s="44">
        <f t="shared" ref="Z41:Z43" si="27">SUM(G41,P41)</f>
        <v>15</v>
      </c>
      <c r="AA41" s="44">
        <f t="shared" ref="AA41:AA43" si="28">SUM(I41,R41)</f>
        <v>0</v>
      </c>
      <c r="AB41" s="44">
        <f t="shared" ref="AB41:AB43" si="29">SUM(K41,T41)</f>
        <v>0</v>
      </c>
      <c r="AC41" s="44">
        <f>SUM(M41,V41)</f>
        <v>0</v>
      </c>
      <c r="AD41" s="44">
        <f>SUM(G41:N41,P41:W41)</f>
        <v>25</v>
      </c>
      <c r="AE41" s="44">
        <f>SUM(O41,X41)</f>
        <v>1</v>
      </c>
    </row>
    <row r="42" spans="1:31" ht="15.75">
      <c r="A42" s="57" t="s">
        <v>141</v>
      </c>
      <c r="B42" s="583" t="s">
        <v>115</v>
      </c>
      <c r="C42" s="625"/>
      <c r="D42" s="312"/>
      <c r="E42" s="313">
        <v>3</v>
      </c>
      <c r="F42" s="313"/>
      <c r="G42" s="54">
        <v>15</v>
      </c>
      <c r="H42" s="54">
        <v>10</v>
      </c>
      <c r="I42" s="54"/>
      <c r="J42" s="54"/>
      <c r="K42" s="54"/>
      <c r="L42" s="54"/>
      <c r="M42" s="54"/>
      <c r="N42" s="54"/>
      <c r="O42" s="54">
        <v>1</v>
      </c>
      <c r="P42" s="55"/>
      <c r="Q42" s="55"/>
      <c r="R42" s="55"/>
      <c r="S42" s="55"/>
      <c r="T42" s="55"/>
      <c r="U42" s="55"/>
      <c r="V42" s="55"/>
      <c r="W42" s="55"/>
      <c r="X42" s="55"/>
      <c r="Y42" s="44">
        <f t="shared" si="26"/>
        <v>15</v>
      </c>
      <c r="Z42" s="44">
        <f t="shared" si="27"/>
        <v>15</v>
      </c>
      <c r="AA42" s="44">
        <f t="shared" si="28"/>
        <v>0</v>
      </c>
      <c r="AB42" s="44">
        <f t="shared" si="29"/>
        <v>0</v>
      </c>
      <c r="AC42" s="44">
        <f>SUM(M42,V42)</f>
        <v>0</v>
      </c>
      <c r="AD42" s="44">
        <f>SUM(G42:N42,P42:W42)</f>
        <v>25</v>
      </c>
      <c r="AE42" s="44">
        <f>SUM(O42,X42)</f>
        <v>1</v>
      </c>
    </row>
    <row r="43" spans="1:31" ht="15.75">
      <c r="A43" s="57" t="s">
        <v>142</v>
      </c>
      <c r="B43" s="583" t="s">
        <v>115</v>
      </c>
      <c r="C43" s="625"/>
      <c r="D43" s="312"/>
      <c r="E43" s="313">
        <v>4</v>
      </c>
      <c r="F43" s="313"/>
      <c r="G43" s="54"/>
      <c r="H43" s="54"/>
      <c r="I43" s="54"/>
      <c r="J43" s="54"/>
      <c r="K43" s="54"/>
      <c r="L43" s="54"/>
      <c r="M43" s="54"/>
      <c r="N43" s="54"/>
      <c r="O43" s="54"/>
      <c r="P43" s="55">
        <v>15</v>
      </c>
      <c r="Q43" s="55">
        <v>10</v>
      </c>
      <c r="R43" s="55"/>
      <c r="S43" s="55"/>
      <c r="T43" s="55"/>
      <c r="U43" s="55"/>
      <c r="V43" s="55"/>
      <c r="W43" s="55"/>
      <c r="X43" s="55">
        <v>1</v>
      </c>
      <c r="Y43" s="44">
        <f t="shared" si="26"/>
        <v>15</v>
      </c>
      <c r="Z43" s="44">
        <f t="shared" si="27"/>
        <v>15</v>
      </c>
      <c r="AA43" s="44">
        <f t="shared" si="28"/>
        <v>0</v>
      </c>
      <c r="AB43" s="44">
        <f t="shared" si="29"/>
        <v>0</v>
      </c>
      <c r="AC43" s="44">
        <f>SUM(M43,V43)</f>
        <v>0</v>
      </c>
      <c r="AD43" s="44">
        <f>SUM(G43:N43,P43:W43)</f>
        <v>25</v>
      </c>
      <c r="AE43" s="44">
        <f>SUM(O43,X43)</f>
        <v>1</v>
      </c>
    </row>
    <row r="44" spans="1:31" ht="15.75">
      <c r="A44" s="57" t="s">
        <v>143</v>
      </c>
      <c r="B44" s="583" t="s">
        <v>115</v>
      </c>
      <c r="C44" s="625"/>
      <c r="D44" s="312"/>
      <c r="E44" s="313">
        <v>4</v>
      </c>
      <c r="F44" s="313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55"/>
      <c r="R44" s="55">
        <v>20</v>
      </c>
      <c r="S44" s="55">
        <v>5</v>
      </c>
      <c r="T44" s="55"/>
      <c r="U44" s="55"/>
      <c r="V44" s="55"/>
      <c r="W44" s="55"/>
      <c r="X44" s="55">
        <v>1</v>
      </c>
      <c r="Y44" s="44">
        <f t="shared" si="26"/>
        <v>20</v>
      </c>
      <c r="Z44" s="44">
        <f>G44+P44</f>
        <v>0</v>
      </c>
      <c r="AA44" s="44">
        <f>I44+R44</f>
        <v>20</v>
      </c>
      <c r="AB44" s="44">
        <f>K44+T44</f>
        <v>0</v>
      </c>
      <c r="AC44" s="44">
        <f>M44+V44</f>
        <v>0</v>
      </c>
      <c r="AD44" s="44">
        <f>SUM(G44:N44,P44:W44)</f>
        <v>25</v>
      </c>
      <c r="AE44" s="44">
        <f>O44+X44</f>
        <v>1</v>
      </c>
    </row>
    <row r="45" spans="1:31" ht="16.5" thickBot="1">
      <c r="A45" s="632" t="s">
        <v>9</v>
      </c>
      <c r="B45" s="633"/>
      <c r="C45" s="633"/>
      <c r="D45" s="633"/>
      <c r="E45" s="633"/>
      <c r="F45" s="634"/>
      <c r="G45" s="61">
        <f>SUM(G40:G44)</f>
        <v>30</v>
      </c>
      <c r="H45" s="61">
        <f t="shared" ref="H45:AE45" si="30">SUM(H40:H44)</f>
        <v>20</v>
      </c>
      <c r="I45" s="61">
        <f t="shared" si="30"/>
        <v>20</v>
      </c>
      <c r="J45" s="61">
        <f t="shared" si="30"/>
        <v>5</v>
      </c>
      <c r="K45" s="61">
        <f t="shared" si="30"/>
        <v>0</v>
      </c>
      <c r="L45" s="61">
        <f t="shared" si="30"/>
        <v>0</v>
      </c>
      <c r="M45" s="61">
        <f t="shared" si="30"/>
        <v>0</v>
      </c>
      <c r="N45" s="61">
        <f t="shared" si="30"/>
        <v>0</v>
      </c>
      <c r="O45" s="61">
        <f t="shared" si="30"/>
        <v>3</v>
      </c>
      <c r="P45" s="61">
        <f t="shared" si="30"/>
        <v>15</v>
      </c>
      <c r="Q45" s="61">
        <f t="shared" si="30"/>
        <v>10</v>
      </c>
      <c r="R45" s="61">
        <f t="shared" si="30"/>
        <v>20</v>
      </c>
      <c r="S45" s="61">
        <f t="shared" si="30"/>
        <v>5</v>
      </c>
      <c r="T45" s="61">
        <f t="shared" si="30"/>
        <v>0</v>
      </c>
      <c r="U45" s="61">
        <f t="shared" si="30"/>
        <v>0</v>
      </c>
      <c r="V45" s="61">
        <f t="shared" si="30"/>
        <v>0</v>
      </c>
      <c r="W45" s="61">
        <f t="shared" si="30"/>
        <v>0</v>
      </c>
      <c r="X45" s="61">
        <f t="shared" si="30"/>
        <v>2</v>
      </c>
      <c r="Y45" s="61">
        <f t="shared" si="30"/>
        <v>85</v>
      </c>
      <c r="Z45" s="61">
        <f t="shared" si="30"/>
        <v>45</v>
      </c>
      <c r="AA45" s="61">
        <f t="shared" si="30"/>
        <v>40</v>
      </c>
      <c r="AB45" s="61">
        <f t="shared" si="30"/>
        <v>0</v>
      </c>
      <c r="AC45" s="61">
        <f t="shared" si="30"/>
        <v>0</v>
      </c>
      <c r="AD45" s="61">
        <f t="shared" si="30"/>
        <v>125</v>
      </c>
      <c r="AE45" s="61">
        <f t="shared" si="30"/>
        <v>5</v>
      </c>
    </row>
    <row r="46" spans="1:31" ht="26.25" customHeight="1" thickBot="1">
      <c r="A46" s="629" t="s">
        <v>21</v>
      </c>
      <c r="B46" s="630"/>
      <c r="C46" s="630"/>
      <c r="D46" s="630"/>
      <c r="E46" s="630"/>
      <c r="F46" s="631"/>
      <c r="G46" s="328">
        <f t="shared" ref="G46:AE46" si="31">G14+G21+G25+G30+G34+G38+G45</f>
        <v>175</v>
      </c>
      <c r="H46" s="328">
        <f t="shared" si="31"/>
        <v>230</v>
      </c>
      <c r="I46" s="328">
        <f t="shared" si="31"/>
        <v>150</v>
      </c>
      <c r="J46" s="328">
        <f t="shared" si="31"/>
        <v>140</v>
      </c>
      <c r="K46" s="328">
        <f t="shared" si="31"/>
        <v>0</v>
      </c>
      <c r="L46" s="328">
        <f t="shared" si="31"/>
        <v>0</v>
      </c>
      <c r="M46" s="328">
        <f t="shared" si="31"/>
        <v>75</v>
      </c>
      <c r="N46" s="328">
        <f t="shared" si="31"/>
        <v>0</v>
      </c>
      <c r="O46" s="328">
        <f t="shared" si="31"/>
        <v>30.5</v>
      </c>
      <c r="P46" s="328">
        <f t="shared" si="31"/>
        <v>135</v>
      </c>
      <c r="Q46" s="328">
        <f t="shared" si="31"/>
        <v>140</v>
      </c>
      <c r="R46" s="328">
        <f t="shared" si="31"/>
        <v>145</v>
      </c>
      <c r="S46" s="328">
        <f t="shared" si="31"/>
        <v>155</v>
      </c>
      <c r="T46" s="328">
        <f t="shared" si="31"/>
        <v>120</v>
      </c>
      <c r="U46" s="328">
        <f t="shared" si="31"/>
        <v>0</v>
      </c>
      <c r="V46" s="328">
        <f t="shared" si="31"/>
        <v>70</v>
      </c>
      <c r="W46" s="328">
        <f t="shared" si="31"/>
        <v>0</v>
      </c>
      <c r="X46" s="328">
        <f t="shared" si="31"/>
        <v>29.5</v>
      </c>
      <c r="Y46" s="328">
        <f t="shared" si="31"/>
        <v>870</v>
      </c>
      <c r="Z46" s="328">
        <f t="shared" si="31"/>
        <v>310</v>
      </c>
      <c r="AA46" s="328">
        <f t="shared" si="31"/>
        <v>295</v>
      </c>
      <c r="AB46" s="328">
        <f t="shared" si="31"/>
        <v>120</v>
      </c>
      <c r="AC46" s="328">
        <f t="shared" si="31"/>
        <v>145</v>
      </c>
      <c r="AD46" s="328">
        <f t="shared" si="31"/>
        <v>1535</v>
      </c>
      <c r="AE46" s="328">
        <f t="shared" si="31"/>
        <v>60</v>
      </c>
    </row>
    <row r="47" spans="1:31" ht="21">
      <c r="A47" s="380"/>
      <c r="B47" s="381"/>
      <c r="C47" s="382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</row>
    <row r="48" spans="1:31" ht="18">
      <c r="A48" s="628" t="s">
        <v>527</v>
      </c>
      <c r="B48" s="628"/>
      <c r="C48" s="628"/>
      <c r="D48" s="628"/>
      <c r="E48" s="628"/>
      <c r="F48" s="628"/>
      <c r="G48" s="628"/>
      <c r="H48" s="628"/>
      <c r="I48" s="628"/>
      <c r="J48" s="628"/>
      <c r="K48" s="628"/>
      <c r="L48" s="628"/>
      <c r="M48" s="628"/>
      <c r="N48" s="628"/>
      <c r="O48" s="628"/>
      <c r="P48" s="628"/>
      <c r="Q48" s="628"/>
      <c r="R48" s="628"/>
      <c r="S48" s="628"/>
      <c r="T48" s="628"/>
      <c r="U48" s="628"/>
      <c r="V48" s="628"/>
      <c r="W48" s="628"/>
      <c r="X48" s="628"/>
      <c r="Y48" s="628"/>
      <c r="Z48" s="628"/>
      <c r="AA48" s="628"/>
      <c r="AB48" s="628"/>
      <c r="AC48" s="628"/>
      <c r="AD48" s="628"/>
      <c r="AE48" s="628"/>
    </row>
    <row r="49" spans="1:31" ht="7.5" customHeight="1">
      <c r="A49" s="380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</row>
    <row r="50" spans="1:31" ht="30" customHeight="1">
      <c r="A50" s="57" t="s">
        <v>141</v>
      </c>
      <c r="B50" s="21" t="s">
        <v>124</v>
      </c>
      <c r="C50" s="311" t="str">
        <f>'FAKULTETY '!D13</f>
        <v>0912-7LEK-F-5-MOD</v>
      </c>
      <c r="D50" s="312"/>
      <c r="E50" s="313">
        <v>3</v>
      </c>
      <c r="F50" s="313"/>
      <c r="G50" s="54"/>
      <c r="H50" s="54"/>
      <c r="I50" s="54">
        <v>20</v>
      </c>
      <c r="J50" s="54">
        <v>5</v>
      </c>
      <c r="K50" s="54"/>
      <c r="L50" s="54"/>
      <c r="M50" s="54"/>
      <c r="N50" s="54"/>
      <c r="O50" s="54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44">
        <f t="shared" ref="Y50:Y60" si="32">SUM(G50,I50,K50,M50,P50,R50,T50,V50)</f>
        <v>20</v>
      </c>
      <c r="Z50" s="44">
        <f>G50+P50</f>
        <v>0</v>
      </c>
      <c r="AA50" s="44">
        <f t="shared" ref="AA50:AA60" si="33">SUM(I50,R50)</f>
        <v>20</v>
      </c>
      <c r="AB50" s="44">
        <f t="shared" ref="AB50:AB60" si="34">SUM(K50,T50)</f>
        <v>0</v>
      </c>
      <c r="AC50" s="44">
        <f t="shared" ref="AC50:AC60" si="35">SUM(M50,V50)</f>
        <v>0</v>
      </c>
      <c r="AD50" s="44">
        <f t="shared" ref="AD50:AD60" si="36">SUM(G50:N50,P50:W50)</f>
        <v>25</v>
      </c>
      <c r="AE50" s="44">
        <f t="shared" ref="AE50:AE60" si="37">SUM(O50,X50)</f>
        <v>1</v>
      </c>
    </row>
    <row r="51" spans="1:31" ht="24" customHeight="1">
      <c r="A51" s="57" t="s">
        <v>142</v>
      </c>
      <c r="B51" s="504" t="s">
        <v>123</v>
      </c>
      <c r="C51" s="510" t="s">
        <v>373</v>
      </c>
      <c r="D51" s="312"/>
      <c r="E51" s="313">
        <v>3</v>
      </c>
      <c r="F51" s="313"/>
      <c r="G51" s="54">
        <v>15</v>
      </c>
      <c r="H51" s="54">
        <v>10</v>
      </c>
      <c r="I51" s="54"/>
      <c r="J51" s="54"/>
      <c r="K51" s="54"/>
      <c r="L51" s="54"/>
      <c r="M51" s="54"/>
      <c r="N51" s="54"/>
      <c r="O51" s="54">
        <v>1</v>
      </c>
      <c r="P51" s="55"/>
      <c r="Q51" s="55"/>
      <c r="R51" s="55"/>
      <c r="S51" s="55"/>
      <c r="T51" s="55"/>
      <c r="U51" s="55"/>
      <c r="V51" s="55"/>
      <c r="W51" s="55"/>
      <c r="X51" s="55"/>
      <c r="Y51" s="44">
        <f t="shared" si="32"/>
        <v>15</v>
      </c>
      <c r="Z51" s="44">
        <f t="shared" ref="Z51:Z60" si="38">G51+P51</f>
        <v>15</v>
      </c>
      <c r="AA51" s="44">
        <f t="shared" si="33"/>
        <v>0</v>
      </c>
      <c r="AB51" s="44">
        <f t="shared" si="34"/>
        <v>0</v>
      </c>
      <c r="AC51" s="44">
        <f t="shared" si="35"/>
        <v>0</v>
      </c>
      <c r="AD51" s="44">
        <f t="shared" si="36"/>
        <v>25</v>
      </c>
      <c r="AE51" s="44">
        <f t="shared" si="37"/>
        <v>1</v>
      </c>
    </row>
    <row r="52" spans="1:31" ht="21.75" customHeight="1">
      <c r="A52" s="57" t="s">
        <v>143</v>
      </c>
      <c r="B52" s="21" t="s">
        <v>176</v>
      </c>
      <c r="C52" s="311" t="str">
        <f>"0912-7LEK-F"&amp;A52&amp;"-"&amp;UPPER(LEFT(B52,1))&amp;"A"</f>
        <v>0912-7LEK-F7-RA</v>
      </c>
      <c r="D52" s="312"/>
      <c r="E52" s="313">
        <v>3</v>
      </c>
      <c r="F52" s="313"/>
      <c r="G52" s="54">
        <v>15</v>
      </c>
      <c r="H52" s="54">
        <v>10</v>
      </c>
      <c r="I52" s="54"/>
      <c r="J52" s="54"/>
      <c r="K52" s="54"/>
      <c r="L52" s="54"/>
      <c r="M52" s="54"/>
      <c r="N52" s="54"/>
      <c r="O52" s="54">
        <v>1</v>
      </c>
      <c r="P52" s="55"/>
      <c r="Q52" s="55"/>
      <c r="R52" s="55"/>
      <c r="S52" s="55"/>
      <c r="T52" s="55"/>
      <c r="U52" s="55"/>
      <c r="V52" s="55"/>
      <c r="W52" s="55"/>
      <c r="X52" s="55"/>
      <c r="Y52" s="44">
        <f t="shared" si="32"/>
        <v>15</v>
      </c>
      <c r="Z52" s="44">
        <f t="shared" si="38"/>
        <v>15</v>
      </c>
      <c r="AA52" s="44">
        <f t="shared" si="33"/>
        <v>0</v>
      </c>
      <c r="AB52" s="44">
        <f t="shared" si="34"/>
        <v>0</v>
      </c>
      <c r="AC52" s="44">
        <f t="shared" si="35"/>
        <v>0</v>
      </c>
      <c r="AD52" s="44">
        <f t="shared" si="36"/>
        <v>25</v>
      </c>
      <c r="AE52" s="44">
        <f t="shared" si="37"/>
        <v>1</v>
      </c>
    </row>
    <row r="53" spans="1:31" ht="40.5" customHeight="1">
      <c r="A53" s="57" t="s">
        <v>140</v>
      </c>
      <c r="B53" s="21" t="str">
        <f>'[1]II rok'!$B$51</f>
        <v>Molekularne podstawy działania narządów zmysłów</v>
      </c>
      <c r="C53" s="311" t="str">
        <f>"0912-7LEK-F"&amp;A53&amp;"-"&amp;UPPER(LEFT(B53,1))&amp;"P"</f>
        <v>0912-7LEK-F8-MP</v>
      </c>
      <c r="D53" s="312"/>
      <c r="E53" s="313">
        <v>3</v>
      </c>
      <c r="F53" s="313"/>
      <c r="G53" s="54">
        <v>15</v>
      </c>
      <c r="H53" s="54">
        <v>10</v>
      </c>
      <c r="I53" s="54"/>
      <c r="J53" s="54"/>
      <c r="K53" s="54"/>
      <c r="L53" s="54"/>
      <c r="M53" s="54"/>
      <c r="N53" s="54"/>
      <c r="O53" s="54">
        <v>1</v>
      </c>
      <c r="P53" s="55"/>
      <c r="Q53" s="55"/>
      <c r="R53" s="55"/>
      <c r="S53" s="55"/>
      <c r="T53" s="55"/>
      <c r="U53" s="55"/>
      <c r="V53" s="55"/>
      <c r="W53" s="55"/>
      <c r="X53" s="55"/>
      <c r="Y53" s="44">
        <f t="shared" si="32"/>
        <v>15</v>
      </c>
      <c r="Z53" s="44">
        <f t="shared" si="38"/>
        <v>15</v>
      </c>
      <c r="AA53" s="44">
        <f t="shared" si="33"/>
        <v>0</v>
      </c>
      <c r="AB53" s="44">
        <f t="shared" si="34"/>
        <v>0</v>
      </c>
      <c r="AC53" s="44">
        <f t="shared" si="35"/>
        <v>0</v>
      </c>
      <c r="AD53" s="44">
        <f t="shared" si="36"/>
        <v>25</v>
      </c>
      <c r="AE53" s="44">
        <f t="shared" si="37"/>
        <v>1</v>
      </c>
    </row>
    <row r="54" spans="1:31" ht="21.75" customHeight="1">
      <c r="A54" s="57" t="s">
        <v>125</v>
      </c>
      <c r="B54" s="21" t="s">
        <v>186</v>
      </c>
      <c r="C54" s="311" t="str">
        <f>"0912-7LEK-F"&amp;A54&amp;"-"&amp;UPPER(LEFT(B54,1))&amp;"G"</f>
        <v>0912-7LEK-F9-IG</v>
      </c>
      <c r="D54" s="312"/>
      <c r="E54" s="313">
        <v>4</v>
      </c>
      <c r="F54" s="313"/>
      <c r="G54" s="54"/>
      <c r="H54" s="54"/>
      <c r="I54" s="54"/>
      <c r="J54" s="54"/>
      <c r="K54" s="54"/>
      <c r="L54" s="54"/>
      <c r="M54" s="54"/>
      <c r="N54" s="54"/>
      <c r="O54" s="54"/>
      <c r="P54" s="55">
        <v>15</v>
      </c>
      <c r="Q54" s="55">
        <v>10</v>
      </c>
      <c r="R54" s="55"/>
      <c r="S54" s="55"/>
      <c r="T54" s="55"/>
      <c r="U54" s="55"/>
      <c r="V54" s="55"/>
      <c r="W54" s="55"/>
      <c r="X54" s="55">
        <v>1</v>
      </c>
      <c r="Y54" s="44">
        <f t="shared" si="32"/>
        <v>15</v>
      </c>
      <c r="Z54" s="44">
        <f t="shared" si="38"/>
        <v>15</v>
      </c>
      <c r="AA54" s="44">
        <f t="shared" si="33"/>
        <v>0</v>
      </c>
      <c r="AB54" s="44">
        <f t="shared" si="34"/>
        <v>0</v>
      </c>
      <c r="AC54" s="44">
        <f t="shared" si="35"/>
        <v>0</v>
      </c>
      <c r="AD54" s="44">
        <f t="shared" si="36"/>
        <v>25</v>
      </c>
      <c r="AE54" s="44">
        <f t="shared" si="37"/>
        <v>1</v>
      </c>
    </row>
    <row r="55" spans="1:31" ht="21.75" customHeight="1">
      <c r="A55" s="57" t="s">
        <v>128</v>
      </c>
      <c r="B55" s="49" t="s">
        <v>133</v>
      </c>
      <c r="C55" s="311" t="str">
        <f>"0912-7LEK-F-"&amp;A55&amp;"-"&amp;UPPER(LEFT(B55,1))&amp;"f"</f>
        <v>0912-7LEK-F-10-Ef</v>
      </c>
      <c r="D55" s="312"/>
      <c r="E55" s="313">
        <v>4</v>
      </c>
      <c r="F55" s="313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55"/>
      <c r="R55" s="55">
        <v>20</v>
      </c>
      <c r="S55" s="55">
        <v>5</v>
      </c>
      <c r="T55" s="55"/>
      <c r="U55" s="55"/>
      <c r="V55" s="55"/>
      <c r="W55" s="55"/>
      <c r="X55" s="55">
        <v>1</v>
      </c>
      <c r="Y55" s="44">
        <f t="shared" si="32"/>
        <v>20</v>
      </c>
      <c r="Z55" s="44">
        <f t="shared" si="38"/>
        <v>0</v>
      </c>
      <c r="AA55" s="44">
        <f t="shared" si="33"/>
        <v>20</v>
      </c>
      <c r="AB55" s="44">
        <f t="shared" si="34"/>
        <v>0</v>
      </c>
      <c r="AC55" s="44">
        <f t="shared" si="35"/>
        <v>0</v>
      </c>
      <c r="AD55" s="44">
        <f t="shared" si="36"/>
        <v>25</v>
      </c>
      <c r="AE55" s="44">
        <f t="shared" si="37"/>
        <v>1</v>
      </c>
    </row>
    <row r="56" spans="1:31" ht="21.75" customHeight="1">
      <c r="A56" s="57" t="s">
        <v>129</v>
      </c>
      <c r="B56" s="49" t="s">
        <v>134</v>
      </c>
      <c r="C56" s="311" t="str">
        <f>"0912-7LEK-F-"&amp;A56&amp;"-"&amp;UPPER(LEFT(B56,1))&amp;"M"</f>
        <v>0912-7LEK-F-11-AM</v>
      </c>
      <c r="D56" s="312"/>
      <c r="E56" s="313">
        <v>4</v>
      </c>
      <c r="F56" s="313"/>
      <c r="G56" s="54"/>
      <c r="H56" s="54"/>
      <c r="I56" s="54"/>
      <c r="J56" s="54"/>
      <c r="K56" s="54"/>
      <c r="L56" s="54"/>
      <c r="M56" s="54"/>
      <c r="N56" s="54"/>
      <c r="O56" s="54"/>
      <c r="P56" s="55">
        <v>15</v>
      </c>
      <c r="Q56" s="55">
        <v>10</v>
      </c>
      <c r="R56" s="55"/>
      <c r="S56" s="55"/>
      <c r="T56" s="55"/>
      <c r="U56" s="55"/>
      <c r="V56" s="55"/>
      <c r="W56" s="55"/>
      <c r="X56" s="55">
        <v>1</v>
      </c>
      <c r="Y56" s="44">
        <f t="shared" si="32"/>
        <v>15</v>
      </c>
      <c r="Z56" s="44">
        <f t="shared" si="38"/>
        <v>15</v>
      </c>
      <c r="AA56" s="44">
        <f t="shared" si="33"/>
        <v>0</v>
      </c>
      <c r="AB56" s="44">
        <f t="shared" si="34"/>
        <v>0</v>
      </c>
      <c r="AC56" s="44">
        <f t="shared" si="35"/>
        <v>0</v>
      </c>
      <c r="AD56" s="44">
        <f t="shared" si="36"/>
        <v>25</v>
      </c>
      <c r="AE56" s="44">
        <f t="shared" si="37"/>
        <v>1</v>
      </c>
    </row>
    <row r="57" spans="1:31" ht="21.75" customHeight="1">
      <c r="A57" s="57" t="s">
        <v>130</v>
      </c>
      <c r="B57" s="49" t="s">
        <v>135</v>
      </c>
      <c r="C57" s="311" t="str">
        <f>"0912-7LEK-F-"&amp;A57&amp;"-"&amp;UPPER(LEFT(B57,1))&amp;"O"</f>
        <v>0912-7LEK-F-12-IO</v>
      </c>
      <c r="D57" s="312"/>
      <c r="E57" s="313">
        <v>4</v>
      </c>
      <c r="F57" s="313"/>
      <c r="G57" s="54"/>
      <c r="H57" s="54"/>
      <c r="I57" s="54"/>
      <c r="J57" s="54"/>
      <c r="K57" s="54"/>
      <c r="L57" s="54"/>
      <c r="M57" s="54"/>
      <c r="N57" s="54"/>
      <c r="O57" s="54"/>
      <c r="P57" s="55">
        <v>15</v>
      </c>
      <c r="Q57" s="55">
        <v>10</v>
      </c>
      <c r="R57" s="55"/>
      <c r="S57" s="55"/>
      <c r="T57" s="55"/>
      <c r="U57" s="55"/>
      <c r="V57" s="55"/>
      <c r="W57" s="55"/>
      <c r="X57" s="55">
        <v>1</v>
      </c>
      <c r="Y57" s="44">
        <f t="shared" si="32"/>
        <v>15</v>
      </c>
      <c r="Z57" s="44">
        <f t="shared" si="38"/>
        <v>15</v>
      </c>
      <c r="AA57" s="44">
        <f t="shared" si="33"/>
        <v>0</v>
      </c>
      <c r="AB57" s="44">
        <f t="shared" si="34"/>
        <v>0</v>
      </c>
      <c r="AC57" s="44">
        <f t="shared" si="35"/>
        <v>0</v>
      </c>
      <c r="AD57" s="44">
        <f t="shared" si="36"/>
        <v>25</v>
      </c>
      <c r="AE57" s="44">
        <f t="shared" si="37"/>
        <v>1</v>
      </c>
    </row>
    <row r="58" spans="1:31" ht="21" customHeight="1">
      <c r="A58" s="57" t="s">
        <v>131</v>
      </c>
      <c r="B58" s="49" t="s">
        <v>264</v>
      </c>
      <c r="C58" s="311" t="str">
        <f>"0912-7LEK-F-"&amp;A58&amp;"-"&amp;UPPER(LEFT(B58,1))&amp;"O"</f>
        <v>0912-7LEK-F-13-HO</v>
      </c>
      <c r="D58" s="312"/>
      <c r="E58" s="313">
        <v>4</v>
      </c>
      <c r="F58" s="313"/>
      <c r="G58" s="54"/>
      <c r="H58" s="54"/>
      <c r="I58" s="54"/>
      <c r="J58" s="54"/>
      <c r="K58" s="54"/>
      <c r="L58" s="54"/>
      <c r="M58" s="54"/>
      <c r="N58" s="54"/>
      <c r="O58" s="54"/>
      <c r="P58" s="55">
        <v>15</v>
      </c>
      <c r="Q58" s="55">
        <v>10</v>
      </c>
      <c r="R58" s="55"/>
      <c r="S58" s="55"/>
      <c r="T58" s="55"/>
      <c r="U58" s="55"/>
      <c r="V58" s="55"/>
      <c r="W58" s="55"/>
      <c r="X58" s="55">
        <v>1</v>
      </c>
      <c r="Y58" s="44">
        <f t="shared" si="32"/>
        <v>15</v>
      </c>
      <c r="Z58" s="44">
        <f t="shared" si="38"/>
        <v>15</v>
      </c>
      <c r="AA58" s="44">
        <f t="shared" si="33"/>
        <v>0</v>
      </c>
      <c r="AB58" s="44">
        <f t="shared" si="34"/>
        <v>0</v>
      </c>
      <c r="AC58" s="44">
        <f t="shared" si="35"/>
        <v>0</v>
      </c>
      <c r="AD58" s="44">
        <f t="shared" si="36"/>
        <v>25</v>
      </c>
      <c r="AE58" s="44">
        <f t="shared" si="37"/>
        <v>1</v>
      </c>
    </row>
    <row r="59" spans="1:31" ht="21" customHeight="1">
      <c r="A59" s="57" t="s">
        <v>132</v>
      </c>
      <c r="B59" s="49" t="s">
        <v>323</v>
      </c>
      <c r="C59" s="311" t="s">
        <v>375</v>
      </c>
      <c r="D59" s="312"/>
      <c r="E59" s="322" t="s">
        <v>242</v>
      </c>
      <c r="F59" s="313"/>
      <c r="G59" s="54"/>
      <c r="H59" s="54"/>
      <c r="I59" s="54">
        <v>20</v>
      </c>
      <c r="J59" s="54">
        <v>5</v>
      </c>
      <c r="K59" s="54"/>
      <c r="L59" s="54"/>
      <c r="M59" s="54"/>
      <c r="N59" s="54"/>
      <c r="O59" s="54">
        <v>1</v>
      </c>
      <c r="P59" s="55"/>
      <c r="Q59" s="55"/>
      <c r="R59" s="55">
        <v>20</v>
      </c>
      <c r="S59" s="55">
        <v>5</v>
      </c>
      <c r="T59" s="55"/>
      <c r="U59" s="55"/>
      <c r="V59" s="55"/>
      <c r="W59" s="55"/>
      <c r="X59" s="55">
        <v>1</v>
      </c>
      <c r="Y59" s="44">
        <f t="shared" si="32"/>
        <v>40</v>
      </c>
      <c r="Z59" s="44">
        <f t="shared" si="38"/>
        <v>0</v>
      </c>
      <c r="AA59" s="44">
        <f t="shared" si="33"/>
        <v>40</v>
      </c>
      <c r="AB59" s="44">
        <f t="shared" si="34"/>
        <v>0</v>
      </c>
      <c r="AC59" s="44">
        <f t="shared" si="35"/>
        <v>0</v>
      </c>
      <c r="AD59" s="44">
        <f t="shared" si="36"/>
        <v>50</v>
      </c>
      <c r="AE59" s="44">
        <f t="shared" si="37"/>
        <v>2</v>
      </c>
    </row>
    <row r="60" spans="1:31" ht="14.25" customHeight="1">
      <c r="A60" s="57" t="s">
        <v>136</v>
      </c>
      <c r="B60" s="49" t="s">
        <v>459</v>
      </c>
      <c r="C60" s="311" t="s">
        <v>514</v>
      </c>
      <c r="D60" s="485"/>
      <c r="E60" s="322" t="s">
        <v>139</v>
      </c>
      <c r="F60" s="486"/>
      <c r="G60" s="54"/>
      <c r="H60" s="54"/>
      <c r="I60" s="54"/>
      <c r="J60" s="54"/>
      <c r="K60" s="54"/>
      <c r="L60" s="54"/>
      <c r="M60" s="54"/>
      <c r="N60" s="54"/>
      <c r="O60" s="54"/>
      <c r="P60" s="55">
        <v>15</v>
      </c>
      <c r="Q60" s="55">
        <v>10</v>
      </c>
      <c r="R60" s="55"/>
      <c r="S60" s="55"/>
      <c r="T60" s="55"/>
      <c r="U60" s="55"/>
      <c r="V60" s="55"/>
      <c r="W60" s="55"/>
      <c r="X60" s="55">
        <v>1</v>
      </c>
      <c r="Y60" s="44">
        <f t="shared" si="32"/>
        <v>15</v>
      </c>
      <c r="Z60" s="44">
        <f t="shared" si="38"/>
        <v>15</v>
      </c>
      <c r="AA60" s="44">
        <f t="shared" si="33"/>
        <v>0</v>
      </c>
      <c r="AB60" s="44">
        <f t="shared" si="34"/>
        <v>0</v>
      </c>
      <c r="AC60" s="44">
        <f t="shared" si="35"/>
        <v>0</v>
      </c>
      <c r="AD60" s="44">
        <f t="shared" si="36"/>
        <v>25</v>
      </c>
      <c r="AE60" s="44">
        <f t="shared" si="37"/>
        <v>1</v>
      </c>
    </row>
    <row r="61" spans="1:31" s="293" customFormat="1" ht="14.25" customHeight="1">
      <c r="A61" s="384"/>
      <c r="B61" s="488"/>
      <c r="C61" s="489"/>
      <c r="D61" s="490"/>
      <c r="E61" s="491"/>
      <c r="F61" s="492"/>
      <c r="G61" s="493"/>
      <c r="H61" s="493"/>
      <c r="I61" s="493"/>
      <c r="J61" s="493"/>
      <c r="K61" s="493"/>
      <c r="L61" s="493"/>
      <c r="M61" s="493"/>
      <c r="N61" s="493"/>
      <c r="O61" s="493"/>
      <c r="P61" s="493"/>
      <c r="Q61" s="493"/>
      <c r="R61" s="493"/>
      <c r="S61" s="493"/>
      <c r="T61" s="493"/>
      <c r="U61" s="493"/>
      <c r="V61" s="493"/>
      <c r="W61" s="493"/>
      <c r="X61" s="493"/>
      <c r="Y61" s="493"/>
      <c r="Z61" s="165"/>
      <c r="AA61" s="165"/>
      <c r="AB61" s="165"/>
      <c r="AC61" s="165"/>
      <c r="AD61" s="165"/>
      <c r="AE61" s="165"/>
    </row>
    <row r="62" spans="1:31" ht="15.75">
      <c r="A62" s="626" t="s">
        <v>378</v>
      </c>
      <c r="B62" s="627"/>
      <c r="C62" s="627"/>
      <c r="D62" s="627"/>
      <c r="E62" s="627"/>
      <c r="F62" s="627"/>
      <c r="G62" s="627"/>
      <c r="H62" s="627"/>
      <c r="I62" s="627"/>
      <c r="J62" s="627"/>
      <c r="K62" s="627"/>
      <c r="L62" s="627"/>
      <c r="M62" s="627"/>
      <c r="N62" s="627"/>
      <c r="O62" s="627"/>
      <c r="P62" s="627"/>
      <c r="Q62" s="627"/>
      <c r="R62" s="627"/>
      <c r="S62" s="627"/>
      <c r="T62" s="627"/>
      <c r="U62" s="627"/>
      <c r="V62" s="627"/>
      <c r="W62" s="627"/>
      <c r="X62" s="627"/>
      <c r="Y62" s="627"/>
      <c r="Z62" s="627"/>
      <c r="AA62" s="627"/>
      <c r="AB62" s="627"/>
      <c r="AC62" s="627"/>
      <c r="AD62" s="627"/>
      <c r="AE62" s="627"/>
    </row>
    <row r="63" spans="1:31" ht="19.5" customHeight="1">
      <c r="A63" s="57" t="s">
        <v>428</v>
      </c>
      <c r="B63" s="46" t="s">
        <v>185</v>
      </c>
      <c r="C63" s="311" t="str">
        <f>"0912-7LEK-A"&amp;A63&amp;"-"&amp;UPPER(LEFT(B63,1))&amp;""</f>
        <v>0912-7LEK-A10,6-R</v>
      </c>
      <c r="D63" s="312"/>
      <c r="E63" s="322" t="s">
        <v>194</v>
      </c>
      <c r="F63" s="324"/>
      <c r="G63" s="54"/>
      <c r="H63" s="54"/>
      <c r="I63" s="54">
        <v>25</v>
      </c>
      <c r="J63" s="54">
        <v>25</v>
      </c>
      <c r="K63" s="54"/>
      <c r="L63" s="54"/>
      <c r="M63" s="54"/>
      <c r="N63" s="54"/>
      <c r="O63" s="54">
        <v>2</v>
      </c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</row>
    <row r="64" spans="1:31" ht="19.5" customHeight="1">
      <c r="A64" s="57" t="s">
        <v>429</v>
      </c>
      <c r="B64" s="46" t="s">
        <v>199</v>
      </c>
      <c r="C64" s="311" t="str">
        <f>"0912-7LEK-A"&amp;A64&amp;"-"&amp;UPPER(LEFT(B64,1))&amp;""</f>
        <v>0912-7LEK-A10,7-M</v>
      </c>
      <c r="D64" s="312"/>
      <c r="E64" s="322" t="s">
        <v>194</v>
      </c>
      <c r="F64" s="313"/>
      <c r="G64" s="54"/>
      <c r="H64" s="54"/>
      <c r="I64" s="54">
        <v>25</v>
      </c>
      <c r="J64" s="54">
        <v>25</v>
      </c>
      <c r="K64" s="54"/>
      <c r="L64" s="54"/>
      <c r="M64" s="54"/>
      <c r="N64" s="54"/>
      <c r="O64" s="54">
        <v>2</v>
      </c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</row>
    <row r="65" spans="1:31" ht="19.5" customHeight="1">
      <c r="A65" s="57" t="s">
        <v>430</v>
      </c>
      <c r="B65" s="46" t="s">
        <v>182</v>
      </c>
      <c r="C65" s="311" t="str">
        <f>"0912-7LEK-A"&amp;A65&amp;"-"&amp;UPPER(LEFT(B65,1))&amp;""</f>
        <v>0912-7LEK-A10,8-C</v>
      </c>
      <c r="D65" s="312"/>
      <c r="E65" s="322" t="s">
        <v>194</v>
      </c>
      <c r="F65" s="313"/>
      <c r="G65" s="54"/>
      <c r="H65" s="54"/>
      <c r="I65" s="54">
        <v>25</v>
      </c>
      <c r="J65" s="54">
        <v>25</v>
      </c>
      <c r="K65" s="54"/>
      <c r="L65" s="54"/>
      <c r="M65" s="54"/>
      <c r="N65" s="54"/>
      <c r="O65" s="54">
        <v>2</v>
      </c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</row>
    <row r="66" spans="1:31" ht="19.5" customHeight="1">
      <c r="A66" s="57" t="s">
        <v>431</v>
      </c>
      <c r="B66" s="46" t="s">
        <v>183</v>
      </c>
      <c r="C66" s="311" t="str">
        <f>"0912-7LEK-A"&amp;A66&amp;"-"&amp;UPPER(LEFT(B66,1))&amp;"RO"</f>
        <v>0912-7LEK-A10,9-PRO</v>
      </c>
      <c r="D66" s="312"/>
      <c r="E66" s="322" t="s">
        <v>194</v>
      </c>
      <c r="F66" s="313"/>
      <c r="G66" s="54"/>
      <c r="H66" s="54"/>
      <c r="I66" s="54">
        <v>25</v>
      </c>
      <c r="J66" s="54">
        <v>25</v>
      </c>
      <c r="K66" s="54"/>
      <c r="L66" s="54"/>
      <c r="M66" s="54"/>
      <c r="N66" s="54"/>
      <c r="O66" s="54">
        <v>2</v>
      </c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</row>
    <row r="67" spans="1:31" ht="19.5" customHeight="1">
      <c r="A67" s="57" t="s">
        <v>432</v>
      </c>
      <c r="B67" s="46" t="s">
        <v>184</v>
      </c>
      <c r="C67" s="311" t="str">
        <f>"0912-7LEK-A"&amp;A67&amp;"-"&amp;UPPER(LEFT(B67,1))&amp;"A"</f>
        <v>0912-7LEK-A10,10-ZA</v>
      </c>
      <c r="D67" s="385"/>
      <c r="E67" s="322" t="s">
        <v>194</v>
      </c>
      <c r="F67" s="385"/>
      <c r="G67" s="54"/>
      <c r="H67" s="54"/>
      <c r="I67" s="54">
        <v>25</v>
      </c>
      <c r="J67" s="54">
        <v>25</v>
      </c>
      <c r="K67" s="54"/>
      <c r="L67" s="54"/>
      <c r="M67" s="54"/>
      <c r="N67" s="54"/>
      <c r="O67" s="54">
        <v>2</v>
      </c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</row>
    <row r="68" spans="1:31">
      <c r="A68" s="380"/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3"/>
      <c r="V68" s="383"/>
      <c r="W68" s="383"/>
      <c r="X68" s="383"/>
      <c r="Y68" s="383"/>
      <c r="Z68" s="383"/>
      <c r="AA68" s="383"/>
      <c r="AB68" s="383"/>
      <c r="AC68" s="383"/>
      <c r="AD68" s="383"/>
      <c r="AE68" s="383"/>
    </row>
    <row r="69" spans="1:31" ht="18.75">
      <c r="A69" s="380"/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298" t="s">
        <v>122</v>
      </c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</row>
    <row r="70" spans="1:31">
      <c r="A70" s="380"/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</row>
    <row r="71" spans="1:31">
      <c r="A71" s="380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</row>
    <row r="72" spans="1:31">
      <c r="A72" s="380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</row>
    <row r="73" spans="1:31">
      <c r="A73" s="380"/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</row>
    <row r="74" spans="1:31" ht="18.75">
      <c r="B74" s="298" t="s">
        <v>326</v>
      </c>
      <c r="C74" s="298"/>
      <c r="D74" s="298"/>
      <c r="E74" s="298"/>
      <c r="F74" s="298"/>
      <c r="G74" s="298"/>
      <c r="H74" s="298"/>
      <c r="I74" s="298"/>
      <c r="J74" s="298"/>
      <c r="K74" s="383"/>
      <c r="L74" s="383"/>
      <c r="M74" s="383"/>
      <c r="N74" s="383"/>
      <c r="O74" s="383"/>
      <c r="P74" s="383"/>
      <c r="Q74" s="383"/>
      <c r="R74" s="293"/>
    </row>
    <row r="75" spans="1:31" ht="18.75">
      <c r="B75" s="298" t="s">
        <v>496</v>
      </c>
      <c r="C75" s="298"/>
      <c r="D75" s="298"/>
      <c r="E75" s="298"/>
      <c r="F75" s="298"/>
      <c r="G75" s="298"/>
      <c r="H75" s="298"/>
      <c r="I75" s="298"/>
      <c r="J75" s="298"/>
      <c r="K75" s="383"/>
      <c r="L75" s="383"/>
      <c r="M75" s="383"/>
      <c r="N75" s="383"/>
      <c r="O75" s="383"/>
      <c r="P75" s="383"/>
      <c r="Q75" s="383"/>
      <c r="R75" s="293"/>
    </row>
    <row r="76" spans="1:31" ht="18.75">
      <c r="B76" s="400" t="s">
        <v>492</v>
      </c>
      <c r="C76" s="400"/>
      <c r="D76" s="400"/>
      <c r="E76" s="400"/>
      <c r="F76" s="400"/>
      <c r="G76" s="400"/>
      <c r="H76" s="400"/>
      <c r="I76" s="298"/>
      <c r="J76" s="298"/>
      <c r="K76" s="383"/>
      <c r="L76" s="383"/>
      <c r="M76" s="383"/>
      <c r="N76" s="383"/>
      <c r="O76" s="383"/>
      <c r="P76" s="383"/>
      <c r="Q76" s="383"/>
      <c r="R76" s="293"/>
    </row>
    <row r="77" spans="1:31" ht="18.75">
      <c r="B77" s="400" t="s">
        <v>330</v>
      </c>
      <c r="C77" s="400"/>
      <c r="D77" s="400"/>
      <c r="E77" s="400"/>
      <c r="F77" s="400"/>
      <c r="G77" s="400"/>
      <c r="H77" s="400"/>
      <c r="I77" s="298"/>
      <c r="J77" s="298"/>
      <c r="K77" s="383"/>
      <c r="L77" s="383"/>
      <c r="M77" s="383"/>
      <c r="N77" s="383"/>
      <c r="O77" s="383"/>
      <c r="P77" s="383"/>
      <c r="Q77" s="383"/>
      <c r="R77" s="293"/>
    </row>
    <row r="78" spans="1:31" ht="18.75">
      <c r="B78" s="400" t="s">
        <v>460</v>
      </c>
      <c r="C78" s="400"/>
      <c r="D78" s="400"/>
      <c r="E78" s="400"/>
      <c r="F78" s="400"/>
      <c r="G78" s="400"/>
      <c r="H78" s="400"/>
      <c r="I78" s="298"/>
      <c r="J78" s="298"/>
      <c r="K78" s="383"/>
      <c r="L78" s="383"/>
      <c r="M78" s="383"/>
      <c r="N78" s="383"/>
      <c r="O78" s="383"/>
      <c r="P78" s="383"/>
      <c r="Q78" s="383"/>
      <c r="R78" s="293"/>
    </row>
    <row r="79" spans="1:31" ht="18.75">
      <c r="B79" s="400" t="s">
        <v>348</v>
      </c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293"/>
      <c r="Q79" s="293"/>
      <c r="R79" s="293"/>
    </row>
    <row r="80" spans="1:31" ht="18.75">
      <c r="B80" s="400" t="s">
        <v>491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293"/>
      <c r="Q80" s="293"/>
      <c r="R80" s="293"/>
    </row>
    <row r="81" spans="1:18" ht="18.75">
      <c r="B81" s="298" t="s">
        <v>484</v>
      </c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293"/>
      <c r="Q81" s="293"/>
      <c r="R81" s="293"/>
    </row>
    <row r="82" spans="1:18" ht="18.75">
      <c r="B82" s="400" t="s">
        <v>461</v>
      </c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293"/>
      <c r="Q82" s="293"/>
      <c r="R82" s="293"/>
    </row>
    <row r="83" spans="1:18" ht="18.75">
      <c r="B83" s="298" t="s">
        <v>485</v>
      </c>
      <c r="C83" s="383"/>
      <c r="D83" s="383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293"/>
      <c r="Q83" s="293"/>
      <c r="R83" s="293"/>
    </row>
    <row r="84" spans="1:18" ht="18.75">
      <c r="B84" s="400" t="s">
        <v>461</v>
      </c>
      <c r="C84" s="383"/>
      <c r="D84" s="383"/>
      <c r="E84" s="383"/>
      <c r="F84" s="383"/>
      <c r="G84" s="383"/>
      <c r="H84" s="383"/>
      <c r="I84" s="383"/>
      <c r="J84" s="383"/>
      <c r="K84" s="383"/>
      <c r="L84" s="383"/>
      <c r="M84" s="383"/>
      <c r="N84" s="383"/>
      <c r="O84" s="383"/>
      <c r="P84" s="293"/>
      <c r="Q84" s="293"/>
      <c r="R84" s="293"/>
    </row>
    <row r="85" spans="1:18" ht="18.75">
      <c r="B85" s="298" t="s">
        <v>462</v>
      </c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293"/>
      <c r="Q85" s="293"/>
      <c r="R85" s="293"/>
    </row>
    <row r="86" spans="1:18" ht="18.75">
      <c r="B86" s="298" t="s">
        <v>350</v>
      </c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293"/>
      <c r="Q86" s="293"/>
      <c r="R86" s="293"/>
    </row>
    <row r="87" spans="1:18" s="293" customFormat="1" ht="20.25">
      <c r="A87" s="58"/>
      <c r="B87" s="400" t="s">
        <v>351</v>
      </c>
      <c r="C87" s="383"/>
      <c r="D87" s="383"/>
      <c r="E87" s="383"/>
      <c r="F87" s="383"/>
      <c r="G87" s="346"/>
      <c r="H87" s="383"/>
      <c r="I87" s="383"/>
      <c r="J87" s="383"/>
      <c r="K87" s="383"/>
      <c r="L87" s="383"/>
      <c r="M87" s="383"/>
      <c r="N87" s="383"/>
      <c r="O87" s="383"/>
    </row>
    <row r="88" spans="1:18" s="293" customFormat="1" ht="18.75">
      <c r="A88" s="58"/>
      <c r="B88" s="298" t="s">
        <v>352</v>
      </c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</row>
    <row r="89" spans="1:18" ht="18.75">
      <c r="B89" s="400" t="s">
        <v>353</v>
      </c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3"/>
      <c r="P89" s="463"/>
      <c r="Q89" s="463"/>
      <c r="R89" s="293"/>
    </row>
    <row r="90" spans="1:18" ht="18.75">
      <c r="B90" s="298" t="s">
        <v>463</v>
      </c>
      <c r="C90" s="383"/>
      <c r="D90" s="383"/>
      <c r="E90" s="383"/>
      <c r="F90" s="383"/>
      <c r="G90" s="383"/>
      <c r="H90" s="383"/>
      <c r="I90" s="383"/>
      <c r="J90" s="383"/>
      <c r="K90" s="383"/>
      <c r="L90" s="383"/>
      <c r="M90" s="383"/>
      <c r="N90" s="383"/>
      <c r="O90" s="383"/>
      <c r="P90" s="293"/>
      <c r="Q90" s="293"/>
      <c r="R90" s="293"/>
    </row>
    <row r="91" spans="1:18" ht="20.25">
      <c r="B91" s="400" t="s">
        <v>464</v>
      </c>
      <c r="C91" s="383"/>
      <c r="D91" s="383"/>
      <c r="E91" s="383"/>
      <c r="F91" s="383"/>
      <c r="G91" s="346"/>
      <c r="H91" s="383"/>
      <c r="I91" s="383"/>
      <c r="J91" s="383"/>
      <c r="K91" s="383"/>
      <c r="L91" s="383"/>
      <c r="M91" s="383"/>
      <c r="N91" s="383"/>
      <c r="O91" s="383"/>
      <c r="P91" s="293"/>
      <c r="Q91" s="293"/>
      <c r="R91" s="293"/>
    </row>
    <row r="92" spans="1:18" ht="18.75">
      <c r="B92" s="298" t="s">
        <v>446</v>
      </c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293"/>
      <c r="Q92" s="293"/>
      <c r="R92" s="293"/>
    </row>
    <row r="93" spans="1:18" ht="18.75">
      <c r="B93" s="400" t="s">
        <v>465</v>
      </c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3"/>
      <c r="O93" s="383"/>
      <c r="P93" s="463"/>
      <c r="Q93" s="293"/>
      <c r="R93" s="293"/>
    </row>
    <row r="94" spans="1:18" ht="18.75">
      <c r="B94" s="298" t="s">
        <v>354</v>
      </c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3"/>
      <c r="N94" s="383"/>
      <c r="O94" s="383"/>
      <c r="P94" s="293"/>
      <c r="Q94" s="293"/>
      <c r="R94" s="293"/>
    </row>
    <row r="95" spans="1:18" ht="18.75">
      <c r="B95" s="400" t="s">
        <v>355</v>
      </c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293"/>
      <c r="Q95" s="293"/>
      <c r="R95" s="293"/>
    </row>
    <row r="96" spans="1:18" ht="18.75">
      <c r="B96" s="400"/>
      <c r="C96" s="383"/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293"/>
      <c r="Q96" s="293"/>
      <c r="R96" s="293"/>
    </row>
    <row r="97" spans="2:18" ht="21">
      <c r="B97" s="383"/>
      <c r="C97" s="340" t="s">
        <v>495</v>
      </c>
      <c r="D97" s="340"/>
      <c r="E97" s="340"/>
      <c r="F97" s="340"/>
      <c r="G97" s="383"/>
      <c r="H97" s="383"/>
      <c r="I97" s="383"/>
      <c r="J97" s="381"/>
      <c r="K97" s="383"/>
      <c r="L97" s="383"/>
      <c r="M97" s="383"/>
      <c r="N97" s="383"/>
      <c r="O97" s="383"/>
      <c r="P97" s="293"/>
      <c r="Q97" s="293"/>
      <c r="R97" s="293"/>
    </row>
    <row r="98" spans="2:18">
      <c r="B98" s="383"/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3"/>
      <c r="N98" s="383"/>
      <c r="O98" s="383"/>
    </row>
  </sheetData>
  <mergeCells count="50">
    <mergeCell ref="A14:F14"/>
    <mergeCell ref="O8:O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A38:F38"/>
    <mergeCell ref="Z6:Z9"/>
    <mergeCell ref="AA6:AA9"/>
    <mergeCell ref="T8:U8"/>
    <mergeCell ref="R8:S8"/>
    <mergeCell ref="A34:F34"/>
    <mergeCell ref="A30:F30"/>
    <mergeCell ref="A21:F21"/>
    <mergeCell ref="A36:A37"/>
    <mergeCell ref="B36:C37"/>
    <mergeCell ref="A25:F25"/>
    <mergeCell ref="A22:AE22"/>
    <mergeCell ref="AC6:AC9"/>
    <mergeCell ref="V8:W8"/>
    <mergeCell ref="Y6:Y9"/>
    <mergeCell ref="AB6:AB9"/>
    <mergeCell ref="A2:B2"/>
    <mergeCell ref="H2:P2"/>
    <mergeCell ref="A3:B3"/>
    <mergeCell ref="M8:N8"/>
    <mergeCell ref="G8:H8"/>
    <mergeCell ref="I8:J8"/>
    <mergeCell ref="K8:L8"/>
    <mergeCell ref="E8:E9"/>
    <mergeCell ref="F8:F9"/>
    <mergeCell ref="B40:C40"/>
    <mergeCell ref="B41:C41"/>
    <mergeCell ref="B42:C42"/>
    <mergeCell ref="A62:AE62"/>
    <mergeCell ref="A48:AE48"/>
    <mergeCell ref="A46:F46"/>
    <mergeCell ref="A45:F45"/>
    <mergeCell ref="B43:C43"/>
    <mergeCell ref="B44:C44"/>
  </mergeCells>
  <pageMargins left="0.23622047244094491" right="0.23622047244094491" top="0" bottom="0" header="0" footer="0"/>
  <pageSetup paperSize="9" scale="54" fitToHeight="0" orientation="landscape" r:id="rId1"/>
  <rowBreaks count="1" manualBreakCount="1">
    <brk id="46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8"/>
  <sheetViews>
    <sheetView tabSelected="1" zoomScale="86" zoomScaleNormal="86" zoomScaleSheetLayoutView="80" workbookViewId="0">
      <pane ySplit="9" topLeftCell="A66" activePane="bottomLeft" state="frozen"/>
      <selection pane="bottomLeft" activeCell="B77" sqref="B77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</cols>
  <sheetData>
    <row r="1" spans="1:31" s="12" customFormat="1" ht="36" customHeight="1">
      <c r="A1" s="608" t="s">
        <v>376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43"/>
    </row>
    <row r="2" spans="1:31" s="12" customFormat="1" ht="36" customHeight="1">
      <c r="A2" s="635" t="s">
        <v>503</v>
      </c>
      <c r="B2" s="635"/>
      <c r="C2" s="347" t="s">
        <v>341</v>
      </c>
      <c r="D2" s="333"/>
      <c r="E2" s="348"/>
      <c r="F2" s="348"/>
      <c r="G2" s="348"/>
      <c r="H2" s="636" t="s">
        <v>144</v>
      </c>
      <c r="I2" s="636"/>
      <c r="J2" s="636"/>
      <c r="K2" s="636"/>
      <c r="L2" s="636"/>
      <c r="M2" s="636"/>
      <c r="N2" s="636"/>
      <c r="O2" s="636"/>
      <c r="P2" s="636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</row>
    <row r="3" spans="1:31" s="12" customFormat="1" ht="36" customHeight="1">
      <c r="A3" s="637" t="s">
        <v>342</v>
      </c>
      <c r="B3" s="637"/>
      <c r="C3" s="350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</row>
    <row r="4" spans="1:31" s="12" customFormat="1" ht="20.25" customHeight="1">
      <c r="A4" s="673" t="s">
        <v>333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</row>
    <row r="5" spans="1:31" ht="15" customHeight="1">
      <c r="A5" s="655"/>
      <c r="B5" s="656"/>
      <c r="C5" s="656"/>
      <c r="D5" s="656"/>
      <c r="E5" s="656"/>
      <c r="F5" s="657"/>
      <c r="G5" s="658" t="s">
        <v>103</v>
      </c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60"/>
    </row>
    <row r="6" spans="1:31" ht="15" customHeight="1">
      <c r="A6" s="589" t="s">
        <v>0</v>
      </c>
      <c r="B6" s="587" t="s">
        <v>4</v>
      </c>
      <c r="C6" s="587" t="s">
        <v>1</v>
      </c>
      <c r="D6" s="663" t="s">
        <v>8</v>
      </c>
      <c r="E6" s="663"/>
      <c r="F6" s="663"/>
      <c r="G6" s="677" t="s">
        <v>105</v>
      </c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  <c r="T6" s="678"/>
      <c r="U6" s="678"/>
      <c r="V6" s="678"/>
      <c r="W6" s="678"/>
      <c r="X6" s="679"/>
      <c r="Y6" s="593" t="s">
        <v>5</v>
      </c>
      <c r="Z6" s="593" t="s">
        <v>89</v>
      </c>
      <c r="AA6" s="593" t="s">
        <v>88</v>
      </c>
      <c r="AB6" s="593" t="s">
        <v>94</v>
      </c>
      <c r="AC6" s="593" t="s">
        <v>90</v>
      </c>
      <c r="AD6" s="593" t="s">
        <v>14</v>
      </c>
      <c r="AE6" s="593" t="s">
        <v>6</v>
      </c>
    </row>
    <row r="7" spans="1:31" ht="18.75" customHeight="1">
      <c r="A7" s="589"/>
      <c r="B7" s="587"/>
      <c r="C7" s="587"/>
      <c r="D7" s="663"/>
      <c r="E7" s="663"/>
      <c r="F7" s="663"/>
      <c r="G7" s="601" t="s">
        <v>97</v>
      </c>
      <c r="H7" s="602"/>
      <c r="I7" s="602"/>
      <c r="J7" s="602"/>
      <c r="K7" s="602"/>
      <c r="L7" s="602"/>
      <c r="M7" s="602"/>
      <c r="N7" s="602"/>
      <c r="O7" s="603"/>
      <c r="P7" s="596" t="s">
        <v>98</v>
      </c>
      <c r="Q7" s="616"/>
      <c r="R7" s="616"/>
      <c r="S7" s="616"/>
      <c r="T7" s="616"/>
      <c r="U7" s="616"/>
      <c r="V7" s="616"/>
      <c r="W7" s="616"/>
      <c r="X7" s="597"/>
      <c r="Y7" s="594"/>
      <c r="Z7" s="594"/>
      <c r="AA7" s="594"/>
      <c r="AB7" s="594"/>
      <c r="AC7" s="594"/>
      <c r="AD7" s="594"/>
      <c r="AE7" s="594"/>
    </row>
    <row r="8" spans="1:31" ht="21.75" customHeight="1">
      <c r="A8" s="590"/>
      <c r="B8" s="585"/>
      <c r="C8" s="585"/>
      <c r="D8" s="585" t="s">
        <v>2</v>
      </c>
      <c r="E8" s="585" t="s">
        <v>13</v>
      </c>
      <c r="F8" s="585" t="s">
        <v>12</v>
      </c>
      <c r="G8" s="601" t="s">
        <v>334</v>
      </c>
      <c r="H8" s="603"/>
      <c r="I8" s="601" t="s">
        <v>335</v>
      </c>
      <c r="J8" s="603"/>
      <c r="K8" s="601" t="s">
        <v>338</v>
      </c>
      <c r="L8" s="603"/>
      <c r="M8" s="601" t="s">
        <v>337</v>
      </c>
      <c r="N8" s="603"/>
      <c r="O8" s="620" t="s">
        <v>7</v>
      </c>
      <c r="P8" s="675" t="s">
        <v>334</v>
      </c>
      <c r="Q8" s="676"/>
      <c r="R8" s="675" t="s">
        <v>335</v>
      </c>
      <c r="S8" s="676"/>
      <c r="T8" s="675" t="s">
        <v>338</v>
      </c>
      <c r="U8" s="676"/>
      <c r="V8" s="675" t="s">
        <v>337</v>
      </c>
      <c r="W8" s="676"/>
      <c r="X8" s="598" t="s">
        <v>7</v>
      </c>
      <c r="Y8" s="594"/>
      <c r="Z8" s="594"/>
      <c r="AA8" s="594"/>
      <c r="AB8" s="594"/>
      <c r="AC8" s="594"/>
      <c r="AD8" s="594"/>
      <c r="AE8" s="594"/>
    </row>
    <row r="9" spans="1:31" ht="45" customHeight="1">
      <c r="A9" s="589"/>
      <c r="B9" s="587"/>
      <c r="C9" s="587"/>
      <c r="D9" s="638"/>
      <c r="E9" s="638"/>
      <c r="F9" s="638"/>
      <c r="G9" s="355" t="s">
        <v>15</v>
      </c>
      <c r="H9" s="355" t="s">
        <v>16</v>
      </c>
      <c r="I9" s="355" t="s">
        <v>15</v>
      </c>
      <c r="J9" s="355" t="s">
        <v>16</v>
      </c>
      <c r="K9" s="355" t="s">
        <v>15</v>
      </c>
      <c r="L9" s="355" t="s">
        <v>16</v>
      </c>
      <c r="M9" s="355" t="s">
        <v>15</v>
      </c>
      <c r="N9" s="355" t="s">
        <v>16</v>
      </c>
      <c r="O9" s="652"/>
      <c r="P9" s="356" t="s">
        <v>15</v>
      </c>
      <c r="Q9" s="356" t="s">
        <v>16</v>
      </c>
      <c r="R9" s="356" t="s">
        <v>15</v>
      </c>
      <c r="S9" s="356" t="s">
        <v>16</v>
      </c>
      <c r="T9" s="356" t="s">
        <v>15</v>
      </c>
      <c r="U9" s="356" t="s">
        <v>16</v>
      </c>
      <c r="V9" s="356" t="s">
        <v>15</v>
      </c>
      <c r="W9" s="356" t="s">
        <v>16</v>
      </c>
      <c r="X9" s="664"/>
      <c r="Y9" s="639"/>
      <c r="Z9" s="639"/>
      <c r="AA9" s="639"/>
      <c r="AB9" s="639"/>
      <c r="AC9" s="639"/>
      <c r="AD9" s="639"/>
      <c r="AE9" s="639"/>
    </row>
    <row r="10" spans="1:31" ht="15.75">
      <c r="A10" s="316" t="s">
        <v>391</v>
      </c>
      <c r="B10" s="317"/>
      <c r="C10" s="318"/>
      <c r="D10" s="317"/>
      <c r="E10" s="362"/>
      <c r="F10" s="317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63"/>
    </row>
    <row r="11" spans="1:31" ht="22.5" customHeight="1">
      <c r="A11" s="310">
        <v>3.4</v>
      </c>
      <c r="B11" s="14" t="s">
        <v>45</v>
      </c>
      <c r="C11" s="311" t="str">
        <f>' razem plan'!C24</f>
        <v>0912-7LEK-C3,5-P</v>
      </c>
      <c r="D11" s="312">
        <v>6</v>
      </c>
      <c r="E11" s="313" t="s">
        <v>260</v>
      </c>
      <c r="F11" s="313"/>
      <c r="G11" s="54">
        <v>20</v>
      </c>
      <c r="H11" s="54">
        <v>30</v>
      </c>
      <c r="I11" s="54">
        <v>45</v>
      </c>
      <c r="J11" s="54">
        <v>30</v>
      </c>
      <c r="K11" s="54"/>
      <c r="L11" s="54"/>
      <c r="M11" s="54"/>
      <c r="N11" s="54"/>
      <c r="O11" s="54">
        <v>5</v>
      </c>
      <c r="P11" s="55">
        <v>20</v>
      </c>
      <c r="Q11" s="55">
        <v>55</v>
      </c>
      <c r="R11" s="55">
        <v>45</v>
      </c>
      <c r="S11" s="55">
        <v>30</v>
      </c>
      <c r="T11" s="55"/>
      <c r="U11" s="55"/>
      <c r="V11" s="55"/>
      <c r="W11" s="55"/>
      <c r="X11" s="55">
        <v>6</v>
      </c>
      <c r="Y11" s="44">
        <f>SUM(Z11:AC11)</f>
        <v>130</v>
      </c>
      <c r="Z11" s="44">
        <f>G11+P11</f>
        <v>40</v>
      </c>
      <c r="AA11" s="44">
        <f>I11+R11</f>
        <v>90</v>
      </c>
      <c r="AB11" s="44">
        <f>SUM(K11,T11)</f>
        <v>0</v>
      </c>
      <c r="AC11" s="44">
        <f>SUM(M11,V11)</f>
        <v>0</v>
      </c>
      <c r="AD11" s="44">
        <f>SUM(G11:N11,P11:W11)</f>
        <v>275</v>
      </c>
      <c r="AE11" s="44">
        <v>11</v>
      </c>
    </row>
    <row r="12" spans="1:31" ht="22.5" customHeight="1">
      <c r="A12" s="320">
        <v>3.5</v>
      </c>
      <c r="B12" s="14" t="s">
        <v>518</v>
      </c>
      <c r="C12" s="311" t="str">
        <f>' razem plan'!C25</f>
        <v>0912-7LEK-C3,6-F</v>
      </c>
      <c r="D12" s="312">
        <v>6</v>
      </c>
      <c r="E12" s="313" t="s">
        <v>260</v>
      </c>
      <c r="F12" s="313"/>
      <c r="G12" s="54">
        <v>20</v>
      </c>
      <c r="H12" s="54">
        <v>55</v>
      </c>
      <c r="I12" s="54">
        <v>40</v>
      </c>
      <c r="J12" s="54">
        <v>35</v>
      </c>
      <c r="K12" s="54"/>
      <c r="L12" s="54"/>
      <c r="M12" s="54"/>
      <c r="N12" s="54"/>
      <c r="O12" s="54">
        <v>6</v>
      </c>
      <c r="P12" s="55">
        <v>25</v>
      </c>
      <c r="Q12" s="55">
        <v>50</v>
      </c>
      <c r="R12" s="55">
        <v>40</v>
      </c>
      <c r="S12" s="55">
        <v>35</v>
      </c>
      <c r="T12" s="55"/>
      <c r="U12" s="55"/>
      <c r="V12" s="55"/>
      <c r="W12" s="55"/>
      <c r="X12" s="55">
        <v>6</v>
      </c>
      <c r="Y12" s="44">
        <f>SUM(Z12:AC12)</f>
        <v>125</v>
      </c>
      <c r="Z12" s="44">
        <f>SUM(G12,P12)</f>
        <v>45</v>
      </c>
      <c r="AA12" s="44">
        <f>SUM(I12,R12)</f>
        <v>80</v>
      </c>
      <c r="AB12" s="44">
        <f>SUM(K12,T12)</f>
        <v>0</v>
      </c>
      <c r="AC12" s="44">
        <f>SUM(M12,V12)</f>
        <v>0</v>
      </c>
      <c r="AD12" s="44">
        <f>SUM(G12:N12,P12:W12)</f>
        <v>300</v>
      </c>
      <c r="AE12" s="44">
        <f>SUM(O12,X12)</f>
        <v>12</v>
      </c>
    </row>
    <row r="13" spans="1:31" s="11" customFormat="1" ht="24.75" customHeight="1">
      <c r="A13" s="320">
        <v>3.7</v>
      </c>
      <c r="B13" s="41" t="s">
        <v>40</v>
      </c>
      <c r="C13" s="321" t="str">
        <f>' razem plan'!C27</f>
        <v>0912-7LEK-C3.7-P</v>
      </c>
      <c r="D13" s="312">
        <v>6</v>
      </c>
      <c r="E13" s="313" t="s">
        <v>260</v>
      </c>
      <c r="F13" s="313"/>
      <c r="G13" s="54">
        <v>15</v>
      </c>
      <c r="H13" s="54">
        <v>10</v>
      </c>
      <c r="I13" s="54">
        <v>20</v>
      </c>
      <c r="J13" s="54">
        <v>30</v>
      </c>
      <c r="K13" s="54"/>
      <c r="L13" s="54"/>
      <c r="M13" s="54"/>
      <c r="N13" s="54"/>
      <c r="O13" s="54">
        <v>3</v>
      </c>
      <c r="P13" s="55">
        <v>15</v>
      </c>
      <c r="Q13" s="55">
        <v>35</v>
      </c>
      <c r="R13" s="55">
        <v>20</v>
      </c>
      <c r="S13" s="55">
        <v>30</v>
      </c>
      <c r="T13" s="55"/>
      <c r="U13" s="55"/>
      <c r="V13" s="55"/>
      <c r="W13" s="55"/>
      <c r="X13" s="55">
        <v>4</v>
      </c>
      <c r="Y13" s="44">
        <f>SUM(Z13:AC13)</f>
        <v>70</v>
      </c>
      <c r="Z13" s="44">
        <f>SUM(G13,P13)</f>
        <v>30</v>
      </c>
      <c r="AA13" s="44">
        <f>SUM(I13,R13)</f>
        <v>40</v>
      </c>
      <c r="AB13" s="44">
        <f>SUM(K13,T13)</f>
        <v>0</v>
      </c>
      <c r="AC13" s="44">
        <f>SUM(M13,V13)</f>
        <v>0</v>
      </c>
      <c r="AD13" s="44">
        <f>SUM(G13:N13,P13:W13)</f>
        <v>175</v>
      </c>
      <c r="AE13" s="44">
        <f>SUM(O13,X13)</f>
        <v>7</v>
      </c>
    </row>
    <row r="14" spans="1:31" ht="15.75">
      <c r="A14" s="580" t="s">
        <v>9</v>
      </c>
      <c r="B14" s="581"/>
      <c r="C14" s="581"/>
      <c r="D14" s="581"/>
      <c r="E14" s="581"/>
      <c r="F14" s="582"/>
      <c r="G14" s="61">
        <f>SUM(G11:G13)</f>
        <v>55</v>
      </c>
      <c r="H14" s="61">
        <f>SUM(H11:H13)</f>
        <v>95</v>
      </c>
      <c r="I14" s="61">
        <f>SUM(I11:I13)</f>
        <v>105</v>
      </c>
      <c r="J14" s="61">
        <f>SUM(J11:J13)</f>
        <v>95</v>
      </c>
      <c r="K14" s="61">
        <f t="shared" ref="K14:AD14" si="0">SUM(K11:K12)</f>
        <v>0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1">
        <f>SUM(O11:O13)</f>
        <v>14</v>
      </c>
      <c r="P14" s="61">
        <f>SUM(P11:P13)</f>
        <v>60</v>
      </c>
      <c r="Q14" s="61">
        <f>SUM(Q11:Q13)</f>
        <v>140</v>
      </c>
      <c r="R14" s="61">
        <f>SUM(R11:R13)</f>
        <v>105</v>
      </c>
      <c r="S14" s="61">
        <f>SUM(S11:S13)</f>
        <v>95</v>
      </c>
      <c r="T14" s="61">
        <f t="shared" si="0"/>
        <v>0</v>
      </c>
      <c r="U14" s="61">
        <f t="shared" si="0"/>
        <v>0</v>
      </c>
      <c r="V14" s="61">
        <f t="shared" si="0"/>
        <v>0</v>
      </c>
      <c r="W14" s="61">
        <f t="shared" si="0"/>
        <v>0</v>
      </c>
      <c r="X14" s="61">
        <f>SUM(X11:X13)</f>
        <v>16</v>
      </c>
      <c r="Y14" s="61">
        <f t="shared" si="0"/>
        <v>255</v>
      </c>
      <c r="Z14" s="61">
        <f t="shared" si="0"/>
        <v>85</v>
      </c>
      <c r="AA14" s="61">
        <f t="shared" si="0"/>
        <v>170</v>
      </c>
      <c r="AB14" s="61">
        <f t="shared" si="0"/>
        <v>0</v>
      </c>
      <c r="AC14" s="61">
        <f t="shared" si="0"/>
        <v>0</v>
      </c>
      <c r="AD14" s="61">
        <f t="shared" si="0"/>
        <v>575</v>
      </c>
      <c r="AE14" s="61">
        <f>SUM(AE11:AE13)</f>
        <v>30</v>
      </c>
    </row>
    <row r="15" spans="1:31" ht="15.75">
      <c r="A15" s="316" t="s">
        <v>393</v>
      </c>
      <c r="B15" s="317"/>
      <c r="C15" s="318"/>
      <c r="D15" s="317"/>
      <c r="E15" s="362"/>
      <c r="F15" s="317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63"/>
    </row>
    <row r="16" spans="1:31" ht="33.75" customHeight="1">
      <c r="A16" s="53">
        <v>5.0999999999999996</v>
      </c>
      <c r="B16" s="40" t="s">
        <v>51</v>
      </c>
      <c r="C16" s="311" t="str">
        <f>RAZEM!C35</f>
        <v>0912-7LEK-C5,1-P</v>
      </c>
      <c r="D16" s="312">
        <v>11</v>
      </c>
      <c r="E16" s="322" t="s">
        <v>427</v>
      </c>
      <c r="F16" s="313"/>
      <c r="G16" s="54">
        <v>15</v>
      </c>
      <c r="H16" s="54">
        <v>10</v>
      </c>
      <c r="I16" s="54">
        <v>15</v>
      </c>
      <c r="J16" s="54">
        <v>10</v>
      </c>
      <c r="K16" s="54">
        <v>25</v>
      </c>
      <c r="L16" s="54"/>
      <c r="M16" s="54"/>
      <c r="N16" s="54"/>
      <c r="O16" s="54">
        <v>3</v>
      </c>
      <c r="P16" s="55"/>
      <c r="Q16" s="55"/>
      <c r="R16" s="55"/>
      <c r="S16" s="55"/>
      <c r="T16" s="55"/>
      <c r="U16" s="55"/>
      <c r="V16" s="55"/>
      <c r="W16" s="55"/>
      <c r="X16" s="55"/>
      <c r="Y16" s="44">
        <f>SUM(Z16:AC16)</f>
        <v>55</v>
      </c>
      <c r="Z16" s="44">
        <f>SUM(G16,P16)</f>
        <v>15</v>
      </c>
      <c r="AA16" s="44">
        <f>SUM(I16,R16)</f>
        <v>15</v>
      </c>
      <c r="AB16" s="44">
        <f>SUM(K16,T16)</f>
        <v>25</v>
      </c>
      <c r="AC16" s="44">
        <f>SUM(M16,V16)</f>
        <v>0</v>
      </c>
      <c r="AD16" s="44">
        <f>SUM(G16:N16,P16:W16)</f>
        <v>75</v>
      </c>
      <c r="AE16" s="44">
        <f>SUM(O16,X16)</f>
        <v>3</v>
      </c>
    </row>
    <row r="17" spans="1:31" ht="33.75" customHeight="1">
      <c r="A17" s="53">
        <v>5.2</v>
      </c>
      <c r="B17" s="40" t="s">
        <v>80</v>
      </c>
      <c r="C17" s="311" t="str">
        <f>RAZEM!C36</f>
        <v>0912-7LEK-C5,2-CW</v>
      </c>
      <c r="D17" s="312">
        <v>11</v>
      </c>
      <c r="E17" s="322" t="s">
        <v>502</v>
      </c>
      <c r="F17" s="313"/>
      <c r="G17" s="54"/>
      <c r="H17" s="54"/>
      <c r="I17" s="54"/>
      <c r="J17" s="54"/>
      <c r="K17" s="54"/>
      <c r="L17" s="54"/>
      <c r="M17" s="54"/>
      <c r="N17" s="54"/>
      <c r="O17" s="54"/>
      <c r="P17" s="55">
        <v>15</v>
      </c>
      <c r="Q17" s="55">
        <v>10</v>
      </c>
      <c r="R17" s="55">
        <v>10</v>
      </c>
      <c r="S17" s="55">
        <v>0</v>
      </c>
      <c r="T17" s="55">
        <v>15</v>
      </c>
      <c r="U17" s="55"/>
      <c r="V17" s="55"/>
      <c r="W17" s="55"/>
      <c r="X17" s="55">
        <v>2</v>
      </c>
      <c r="Y17" s="44">
        <f t="shared" ref="Y17:Y20" si="1">SUM(Z17:AC17)</f>
        <v>40</v>
      </c>
      <c r="Z17" s="44">
        <f>G17+P17</f>
        <v>15</v>
      </c>
      <c r="AA17" s="44">
        <f>I17+R17</f>
        <v>10</v>
      </c>
      <c r="AB17" s="44">
        <f>K17+T17</f>
        <v>15</v>
      </c>
      <c r="AC17" s="44">
        <f>M17+V17</f>
        <v>0</v>
      </c>
      <c r="AD17" s="44">
        <f>SUM(G17:N17,P17:W17)</f>
        <v>50</v>
      </c>
      <c r="AE17" s="44">
        <f>O17+X17</f>
        <v>2</v>
      </c>
    </row>
    <row r="18" spans="1:31" ht="39" customHeight="1">
      <c r="A18" s="53" t="s">
        <v>315</v>
      </c>
      <c r="B18" s="40" t="s">
        <v>316</v>
      </c>
      <c r="C18" s="311" t="str">
        <f>RAZEM!C36</f>
        <v>0912-7LEK-C5,2-CW</v>
      </c>
      <c r="D18" s="312">
        <v>11</v>
      </c>
      <c r="E18" s="322" t="s">
        <v>141</v>
      </c>
      <c r="F18" s="313"/>
      <c r="G18" s="54">
        <v>15</v>
      </c>
      <c r="H18" s="54">
        <v>10</v>
      </c>
      <c r="I18" s="54">
        <v>15</v>
      </c>
      <c r="J18" s="54">
        <v>10</v>
      </c>
      <c r="K18" s="54">
        <v>25</v>
      </c>
      <c r="L18" s="54"/>
      <c r="M18" s="54"/>
      <c r="N18" s="54"/>
      <c r="O18" s="54">
        <v>3</v>
      </c>
      <c r="P18" s="55"/>
      <c r="Q18" s="55"/>
      <c r="R18" s="55"/>
      <c r="S18" s="55"/>
      <c r="T18" s="55"/>
      <c r="U18" s="55"/>
      <c r="V18" s="55"/>
      <c r="W18" s="55"/>
      <c r="X18" s="55"/>
      <c r="Y18" s="44">
        <f t="shared" si="1"/>
        <v>55</v>
      </c>
      <c r="Z18" s="44">
        <f>SUM(G18,P18)</f>
        <v>15</v>
      </c>
      <c r="AA18" s="44">
        <f>SUM(I18,R18)</f>
        <v>15</v>
      </c>
      <c r="AB18" s="44">
        <f>SUM(K18,T18)</f>
        <v>25</v>
      </c>
      <c r="AC18" s="44">
        <f>SUM(M18,V18)</f>
        <v>0</v>
      </c>
      <c r="AD18" s="44">
        <f>SUM(G18:N18,P18:W18)</f>
        <v>75</v>
      </c>
      <c r="AE18" s="44">
        <f>SUM(O18,X18)</f>
        <v>3</v>
      </c>
    </row>
    <row r="19" spans="1:31" ht="31.5" customHeight="1">
      <c r="A19" s="53">
        <v>5.8</v>
      </c>
      <c r="B19" s="40" t="s">
        <v>57</v>
      </c>
      <c r="C19" s="311" t="str">
        <f>RAZEM!C42</f>
        <v>0912-7LEK-C5,8-DiW</v>
      </c>
      <c r="D19" s="312">
        <v>6</v>
      </c>
      <c r="E19" s="313">
        <v>6</v>
      </c>
      <c r="F19" s="313"/>
      <c r="G19" s="54"/>
      <c r="H19" s="54"/>
      <c r="I19" s="54"/>
      <c r="J19" s="54"/>
      <c r="K19" s="54"/>
      <c r="L19" s="54"/>
      <c r="M19" s="54"/>
      <c r="N19" s="54"/>
      <c r="O19" s="54"/>
      <c r="P19" s="55">
        <v>15</v>
      </c>
      <c r="Q19" s="55">
        <v>10</v>
      </c>
      <c r="R19" s="55">
        <v>15</v>
      </c>
      <c r="S19" s="55">
        <v>10</v>
      </c>
      <c r="T19" s="55">
        <v>25</v>
      </c>
      <c r="U19" s="55"/>
      <c r="V19" s="55"/>
      <c r="W19" s="55"/>
      <c r="X19" s="55">
        <v>3</v>
      </c>
      <c r="Y19" s="44">
        <f t="shared" si="1"/>
        <v>55</v>
      </c>
      <c r="Z19" s="44">
        <f>SUM(G19,P19)</f>
        <v>15</v>
      </c>
      <c r="AA19" s="44">
        <f>SUM(I19,R19)</f>
        <v>15</v>
      </c>
      <c r="AB19" s="44">
        <f>SUM(K19,T19)</f>
        <v>25</v>
      </c>
      <c r="AC19" s="44">
        <f>SUM(M19,V19)</f>
        <v>0</v>
      </c>
      <c r="AD19" s="44">
        <f>SUM(G19:N19,P19:W19)</f>
        <v>75</v>
      </c>
      <c r="AE19" s="44">
        <f>SUM(O19,X19)</f>
        <v>3</v>
      </c>
    </row>
    <row r="20" spans="1:31" ht="27.75" customHeight="1">
      <c r="A20" s="386">
        <v>5.1100000000000003</v>
      </c>
      <c r="B20" s="40" t="s">
        <v>60</v>
      </c>
      <c r="C20" s="311" t="str">
        <f>RAZEM!C45</f>
        <v>0912-7LEK-C5,11-DL</v>
      </c>
      <c r="D20" s="312">
        <v>5</v>
      </c>
      <c r="E20" s="313">
        <v>5</v>
      </c>
      <c r="F20" s="313"/>
      <c r="G20" s="54">
        <v>15</v>
      </c>
      <c r="H20" s="54">
        <v>10</v>
      </c>
      <c r="I20" s="54">
        <v>40</v>
      </c>
      <c r="J20" s="54">
        <v>35</v>
      </c>
      <c r="K20" s="54"/>
      <c r="L20" s="54"/>
      <c r="M20" s="54"/>
      <c r="N20" s="54"/>
      <c r="O20" s="54">
        <v>4</v>
      </c>
      <c r="P20" s="55"/>
      <c r="Q20" s="55"/>
      <c r="R20" s="55"/>
      <c r="S20" s="55"/>
      <c r="T20" s="55"/>
      <c r="U20" s="55"/>
      <c r="V20" s="55"/>
      <c r="W20" s="55"/>
      <c r="X20" s="55"/>
      <c r="Y20" s="44">
        <f t="shared" si="1"/>
        <v>55</v>
      </c>
      <c r="Z20" s="44">
        <f>SUM(G20,P20)</f>
        <v>15</v>
      </c>
      <c r="AA20" s="44">
        <f>SUM(I20,R20)</f>
        <v>40</v>
      </c>
      <c r="AB20" s="44">
        <f>SUM(K20,T20)</f>
        <v>0</v>
      </c>
      <c r="AC20" s="44">
        <f>SUM(M20,V20)</f>
        <v>0</v>
      </c>
      <c r="AD20" s="44">
        <f>SUM(G20:N20,P20:W20)</f>
        <v>100</v>
      </c>
      <c r="AE20" s="44">
        <f>SUM(O20,X20)</f>
        <v>4</v>
      </c>
    </row>
    <row r="21" spans="1:31" ht="15.75">
      <c r="A21" s="580" t="s">
        <v>9</v>
      </c>
      <c r="B21" s="581"/>
      <c r="C21" s="581"/>
      <c r="D21" s="581"/>
      <c r="E21" s="581"/>
      <c r="F21" s="582"/>
      <c r="G21" s="61">
        <f t="shared" ref="G21:X21" si="2">SUM(G16:G20)</f>
        <v>45</v>
      </c>
      <c r="H21" s="61">
        <f t="shared" si="2"/>
        <v>30</v>
      </c>
      <c r="I21" s="61">
        <f t="shared" si="2"/>
        <v>70</v>
      </c>
      <c r="J21" s="61">
        <f t="shared" si="2"/>
        <v>55</v>
      </c>
      <c r="K21" s="61">
        <f t="shared" si="2"/>
        <v>50</v>
      </c>
      <c r="L21" s="61">
        <f t="shared" si="2"/>
        <v>0</v>
      </c>
      <c r="M21" s="61">
        <f t="shared" si="2"/>
        <v>0</v>
      </c>
      <c r="N21" s="61">
        <f t="shared" si="2"/>
        <v>0</v>
      </c>
      <c r="O21" s="61">
        <f t="shared" si="2"/>
        <v>10</v>
      </c>
      <c r="P21" s="61">
        <f t="shared" si="2"/>
        <v>30</v>
      </c>
      <c r="Q21" s="61">
        <f t="shared" si="2"/>
        <v>20</v>
      </c>
      <c r="R21" s="61">
        <f t="shared" si="2"/>
        <v>25</v>
      </c>
      <c r="S21" s="61">
        <f t="shared" si="2"/>
        <v>10</v>
      </c>
      <c r="T21" s="61">
        <f t="shared" si="2"/>
        <v>40</v>
      </c>
      <c r="U21" s="61">
        <f t="shared" si="2"/>
        <v>0</v>
      </c>
      <c r="V21" s="61">
        <f t="shared" si="2"/>
        <v>0</v>
      </c>
      <c r="W21" s="61">
        <f t="shared" si="2"/>
        <v>0</v>
      </c>
      <c r="X21" s="61">
        <f t="shared" si="2"/>
        <v>5</v>
      </c>
      <c r="Y21" s="61">
        <f>SUM(Y16:Y20)</f>
        <v>260</v>
      </c>
      <c r="Z21" s="61">
        <f t="shared" ref="Z21:AE21" si="3">SUM(Z16:Z20)</f>
        <v>75</v>
      </c>
      <c r="AA21" s="61">
        <f t="shared" si="3"/>
        <v>95</v>
      </c>
      <c r="AB21" s="61">
        <f t="shared" si="3"/>
        <v>90</v>
      </c>
      <c r="AC21" s="61">
        <f t="shared" si="3"/>
        <v>0</v>
      </c>
      <c r="AD21" s="61">
        <f t="shared" si="3"/>
        <v>375</v>
      </c>
      <c r="AE21" s="61">
        <f t="shared" si="3"/>
        <v>15</v>
      </c>
    </row>
    <row r="22" spans="1:31" ht="15.75">
      <c r="A22" s="316" t="s">
        <v>394</v>
      </c>
      <c r="B22" s="317"/>
      <c r="C22" s="318"/>
      <c r="D22" s="317"/>
      <c r="E22" s="317"/>
      <c r="F22" s="317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63"/>
    </row>
    <row r="23" spans="1:31" ht="30.75" customHeight="1">
      <c r="A23" s="53">
        <v>6.2</v>
      </c>
      <c r="B23" s="40" t="s">
        <v>63</v>
      </c>
      <c r="C23" s="311" t="str">
        <f>"0912-7LEK-C"&amp;A23&amp;"-"&amp;UPPER(LEFT(B23,1))</f>
        <v>0912-7LEK-C6,2-C</v>
      </c>
      <c r="D23" s="312">
        <v>12</v>
      </c>
      <c r="E23" s="322" t="s">
        <v>426</v>
      </c>
      <c r="F23" s="313"/>
      <c r="G23" s="54">
        <v>15</v>
      </c>
      <c r="H23" s="54">
        <v>10</v>
      </c>
      <c r="I23" s="54">
        <v>15</v>
      </c>
      <c r="J23" s="54">
        <v>10</v>
      </c>
      <c r="K23" s="54"/>
      <c r="L23" s="54"/>
      <c r="M23" s="54"/>
      <c r="N23" s="54"/>
      <c r="O23" s="54">
        <v>2</v>
      </c>
      <c r="P23" s="55">
        <v>15</v>
      </c>
      <c r="Q23" s="55">
        <v>10</v>
      </c>
      <c r="R23" s="55">
        <v>15</v>
      </c>
      <c r="S23" s="55">
        <v>10</v>
      </c>
      <c r="T23" s="55"/>
      <c r="U23" s="55"/>
      <c r="V23" s="55"/>
      <c r="W23" s="55"/>
      <c r="X23" s="55">
        <v>2</v>
      </c>
      <c r="Y23" s="44">
        <f>SUM(Z23:AC23)</f>
        <v>60</v>
      </c>
      <c r="Z23" s="44">
        <f>SUM(G23,P23)</f>
        <v>30</v>
      </c>
      <c r="AA23" s="44">
        <f>SUM(I23,R23)</f>
        <v>30</v>
      </c>
      <c r="AB23" s="44">
        <f>SUM(K23,T23)</f>
        <v>0</v>
      </c>
      <c r="AC23" s="44">
        <f>SUM(M23,V23)</f>
        <v>0</v>
      </c>
      <c r="AD23" s="44">
        <f>SUM(G23:N23,P23:W23)</f>
        <v>100</v>
      </c>
      <c r="AE23" s="44">
        <f>SUM(O23,X23)</f>
        <v>4</v>
      </c>
    </row>
    <row r="24" spans="1:31" ht="15.75">
      <c r="A24" s="580" t="s">
        <v>9</v>
      </c>
      <c r="B24" s="581"/>
      <c r="C24" s="581"/>
      <c r="D24" s="581"/>
      <c r="E24" s="581"/>
      <c r="F24" s="582"/>
      <c r="G24" s="61">
        <f t="shared" ref="G24:X24" si="4">SUM(G23:G23)</f>
        <v>15</v>
      </c>
      <c r="H24" s="61">
        <f t="shared" si="4"/>
        <v>10</v>
      </c>
      <c r="I24" s="61">
        <f t="shared" si="4"/>
        <v>15</v>
      </c>
      <c r="J24" s="61">
        <f t="shared" si="4"/>
        <v>10</v>
      </c>
      <c r="K24" s="61">
        <f t="shared" si="4"/>
        <v>0</v>
      </c>
      <c r="L24" s="61">
        <f t="shared" si="4"/>
        <v>0</v>
      </c>
      <c r="M24" s="61">
        <f t="shared" si="4"/>
        <v>0</v>
      </c>
      <c r="N24" s="61">
        <f t="shared" si="4"/>
        <v>0</v>
      </c>
      <c r="O24" s="61">
        <f t="shared" si="4"/>
        <v>2</v>
      </c>
      <c r="P24" s="61">
        <f t="shared" si="4"/>
        <v>15</v>
      </c>
      <c r="Q24" s="61">
        <f t="shared" si="4"/>
        <v>10</v>
      </c>
      <c r="R24" s="61">
        <f t="shared" si="4"/>
        <v>15</v>
      </c>
      <c r="S24" s="61">
        <f t="shared" si="4"/>
        <v>10</v>
      </c>
      <c r="T24" s="61">
        <f t="shared" si="4"/>
        <v>0</v>
      </c>
      <c r="U24" s="61">
        <f t="shared" si="4"/>
        <v>0</v>
      </c>
      <c r="V24" s="61">
        <f t="shared" si="4"/>
        <v>0</v>
      </c>
      <c r="W24" s="61">
        <f t="shared" si="4"/>
        <v>0</v>
      </c>
      <c r="X24" s="61">
        <f t="shared" si="4"/>
        <v>2</v>
      </c>
      <c r="Y24" s="61">
        <f>SUM(Y23:Y23)</f>
        <v>60</v>
      </c>
      <c r="Z24" s="61">
        <f t="shared" ref="Z24:AE24" si="5">SUM(Z23:Z23)</f>
        <v>30</v>
      </c>
      <c r="AA24" s="61">
        <f t="shared" si="5"/>
        <v>30</v>
      </c>
      <c r="AB24" s="61">
        <f t="shared" si="5"/>
        <v>0</v>
      </c>
      <c r="AC24" s="61">
        <f t="shared" si="5"/>
        <v>0</v>
      </c>
      <c r="AD24" s="61">
        <f t="shared" si="5"/>
        <v>100</v>
      </c>
      <c r="AE24" s="61">
        <f t="shared" si="5"/>
        <v>4</v>
      </c>
    </row>
    <row r="25" spans="1:31" ht="15.75">
      <c r="A25" s="316" t="s">
        <v>384</v>
      </c>
      <c r="B25" s="317"/>
      <c r="C25" s="318"/>
      <c r="D25" s="317"/>
      <c r="E25" s="317"/>
      <c r="F25" s="317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63"/>
    </row>
    <row r="26" spans="1:31" ht="25.5" customHeight="1">
      <c r="A26" s="53">
        <v>9.4</v>
      </c>
      <c r="B26" s="323" t="s">
        <v>80</v>
      </c>
      <c r="C26" s="311" t="str">
        <f>"0912-7LEK-C"&amp;A26&amp;"-"&amp;UPPER(LEFT(B26,1))</f>
        <v>0912-7LEK-C9,4-C</v>
      </c>
      <c r="D26" s="312"/>
      <c r="E26" s="313">
        <v>6</v>
      </c>
      <c r="F26" s="313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55"/>
      <c r="R26" s="55"/>
      <c r="S26" s="55"/>
      <c r="T26" s="55">
        <v>120</v>
      </c>
      <c r="U26" s="55"/>
      <c r="V26" s="55"/>
      <c r="W26" s="55"/>
      <c r="X26" s="55">
        <v>4</v>
      </c>
      <c r="Y26" s="44">
        <f>SUM(Z26:AC26)</f>
        <v>120</v>
      </c>
      <c r="Z26" s="44">
        <f>SUM(G26,P26)</f>
        <v>0</v>
      </c>
      <c r="AA26" s="44">
        <f>SUM(I26,R26)</f>
        <v>0</v>
      </c>
      <c r="AB26" s="44">
        <f>SUM(K26,T26)</f>
        <v>120</v>
      </c>
      <c r="AC26" s="44">
        <f>SUM(M26,V26)</f>
        <v>0</v>
      </c>
      <c r="AD26" s="44">
        <f>SUM(G26:N26,P26:W26)</f>
        <v>120</v>
      </c>
      <c r="AE26" s="44">
        <f>SUM(O26,X26)</f>
        <v>4</v>
      </c>
    </row>
    <row r="27" spans="1:31" ht="15.75">
      <c r="A27" s="580" t="s">
        <v>9</v>
      </c>
      <c r="B27" s="581"/>
      <c r="C27" s="581"/>
      <c r="D27" s="581"/>
      <c r="E27" s="581"/>
      <c r="F27" s="582"/>
      <c r="G27" s="61">
        <f t="shared" ref="G27:X27" si="6">SUM(G26:G26)</f>
        <v>0</v>
      </c>
      <c r="H27" s="61">
        <f t="shared" si="6"/>
        <v>0</v>
      </c>
      <c r="I27" s="61">
        <f t="shared" si="6"/>
        <v>0</v>
      </c>
      <c r="J27" s="61">
        <f t="shared" si="6"/>
        <v>0</v>
      </c>
      <c r="K27" s="61">
        <f t="shared" si="6"/>
        <v>0</v>
      </c>
      <c r="L27" s="61">
        <f t="shared" si="6"/>
        <v>0</v>
      </c>
      <c r="M27" s="61">
        <f t="shared" si="6"/>
        <v>0</v>
      </c>
      <c r="N27" s="61">
        <f t="shared" si="6"/>
        <v>0</v>
      </c>
      <c r="O27" s="61">
        <f t="shared" si="6"/>
        <v>0</v>
      </c>
      <c r="P27" s="61">
        <f t="shared" si="6"/>
        <v>0</v>
      </c>
      <c r="Q27" s="61">
        <f t="shared" si="6"/>
        <v>0</v>
      </c>
      <c r="R27" s="61">
        <f t="shared" si="6"/>
        <v>0</v>
      </c>
      <c r="S27" s="61">
        <f t="shared" si="6"/>
        <v>0</v>
      </c>
      <c r="T27" s="61">
        <f t="shared" si="6"/>
        <v>120</v>
      </c>
      <c r="U27" s="61">
        <f t="shared" si="6"/>
        <v>0</v>
      </c>
      <c r="V27" s="61">
        <f t="shared" si="6"/>
        <v>0</v>
      </c>
      <c r="W27" s="61">
        <f t="shared" si="6"/>
        <v>0</v>
      </c>
      <c r="X27" s="61">
        <f t="shared" si="6"/>
        <v>4</v>
      </c>
      <c r="Y27" s="61">
        <f>SUM(Y26:Y26)</f>
        <v>120</v>
      </c>
      <c r="Z27" s="61">
        <f t="shared" ref="Z27:AE27" si="7">SUM(Z26:Z26)</f>
        <v>0</v>
      </c>
      <c r="AA27" s="61">
        <f t="shared" si="7"/>
        <v>0</v>
      </c>
      <c r="AB27" s="61">
        <f t="shared" si="7"/>
        <v>120</v>
      </c>
      <c r="AC27" s="61">
        <f t="shared" si="7"/>
        <v>0</v>
      </c>
      <c r="AD27" s="61">
        <f t="shared" si="7"/>
        <v>120</v>
      </c>
      <c r="AE27" s="61">
        <f t="shared" si="7"/>
        <v>4</v>
      </c>
    </row>
    <row r="28" spans="1:31" ht="15.75" hidden="1">
      <c r="A28" s="316" t="s">
        <v>301</v>
      </c>
      <c r="B28" s="317"/>
      <c r="C28" s="318"/>
      <c r="D28" s="362"/>
      <c r="E28" s="362"/>
      <c r="F28" s="362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63"/>
    </row>
    <row r="29" spans="1:31" ht="26.25" hidden="1" customHeight="1">
      <c r="A29" s="53">
        <v>11.3</v>
      </c>
      <c r="B29" s="20" t="s">
        <v>108</v>
      </c>
      <c r="C29" s="311" t="str">
        <f>"0912-7LEK-A"&amp;A29&amp;"-"&amp;UPPER(LEFT(B29,1))&amp;"F"</f>
        <v>0912-7LEK-A11,3-WF</v>
      </c>
      <c r="D29" s="312"/>
      <c r="E29" s="387"/>
      <c r="F29" s="322" t="s">
        <v>120</v>
      </c>
      <c r="G29" s="54"/>
      <c r="H29" s="54"/>
      <c r="I29" s="54">
        <v>0</v>
      </c>
      <c r="J29" s="54"/>
      <c r="K29" s="54"/>
      <c r="L29" s="54"/>
      <c r="M29" s="54"/>
      <c r="N29" s="54"/>
      <c r="O29" s="54">
        <v>0</v>
      </c>
      <c r="P29" s="55"/>
      <c r="Q29" s="55"/>
      <c r="R29" s="55">
        <v>0</v>
      </c>
      <c r="S29" s="55"/>
      <c r="T29" s="55"/>
      <c r="U29" s="55"/>
      <c r="V29" s="55"/>
      <c r="W29" s="55"/>
      <c r="X29" s="55">
        <v>0</v>
      </c>
      <c r="Y29" s="379">
        <f>SUM(Z29:AC29)</f>
        <v>0</v>
      </c>
      <c r="Z29" s="379">
        <f>SUM(G29,P29)</f>
        <v>0</v>
      </c>
      <c r="AA29" s="379">
        <f>SUM(I29,R29)</f>
        <v>0</v>
      </c>
      <c r="AB29" s="379">
        <f>SUM(K29,T29)</f>
        <v>0</v>
      </c>
      <c r="AC29" s="379">
        <f>SUM(M29,V29)</f>
        <v>0</v>
      </c>
      <c r="AD29" s="379">
        <f>SUM(G29:N29,P29:W29)</f>
        <v>0</v>
      </c>
      <c r="AE29" s="379">
        <f>SUM(O29,X29)</f>
        <v>0</v>
      </c>
    </row>
    <row r="30" spans="1:31" ht="15.75" hidden="1">
      <c r="A30" s="580" t="s">
        <v>9</v>
      </c>
      <c r="B30" s="581"/>
      <c r="C30" s="581"/>
      <c r="D30" s="581"/>
      <c r="E30" s="581"/>
      <c r="F30" s="582"/>
      <c r="G30" s="61">
        <f t="shared" ref="G30:X30" si="8">SUM(G29:G29)</f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ref="Y30:AE30" si="9">SUM(Y29:Y29)</f>
        <v>0</v>
      </c>
      <c r="Z30" s="61">
        <f t="shared" si="9"/>
        <v>0</v>
      </c>
      <c r="AA30" s="61">
        <f t="shared" si="9"/>
        <v>0</v>
      </c>
      <c r="AB30" s="61">
        <f t="shared" si="9"/>
        <v>0</v>
      </c>
      <c r="AC30" s="61">
        <f t="shared" si="9"/>
        <v>0</v>
      </c>
      <c r="AD30" s="61">
        <f t="shared" si="9"/>
        <v>0</v>
      </c>
      <c r="AE30" s="61">
        <f t="shared" si="9"/>
        <v>0</v>
      </c>
    </row>
    <row r="31" spans="1:31" ht="21.75" customHeight="1">
      <c r="A31" s="316" t="s">
        <v>387</v>
      </c>
      <c r="B31" s="317"/>
      <c r="C31" s="318"/>
      <c r="D31" s="317"/>
      <c r="E31" s="317"/>
      <c r="F31" s="317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63"/>
    </row>
    <row r="32" spans="1:31" ht="23.25" customHeight="1">
      <c r="A32" s="57" t="s">
        <v>140</v>
      </c>
      <c r="B32" s="671" t="s">
        <v>318</v>
      </c>
      <c r="C32" s="672"/>
      <c r="D32" s="312"/>
      <c r="E32" s="313">
        <v>5</v>
      </c>
      <c r="F32" s="313"/>
      <c r="G32" s="54">
        <v>15</v>
      </c>
      <c r="H32" s="54">
        <v>10</v>
      </c>
      <c r="I32" s="54"/>
      <c r="J32" s="54"/>
      <c r="K32" s="54"/>
      <c r="L32" s="54"/>
      <c r="M32" s="54"/>
      <c r="N32" s="54"/>
      <c r="O32" s="54">
        <v>1</v>
      </c>
      <c r="P32" s="55"/>
      <c r="Q32" s="55"/>
      <c r="R32" s="55"/>
      <c r="S32" s="55"/>
      <c r="T32" s="55"/>
      <c r="U32" s="55"/>
      <c r="V32" s="55"/>
      <c r="W32" s="55"/>
      <c r="X32" s="55"/>
      <c r="Y32" s="44">
        <f>SUM(Z32:AC32)</f>
        <v>15</v>
      </c>
      <c r="Z32" s="44">
        <f>SUM(G32,P32)</f>
        <v>15</v>
      </c>
      <c r="AA32" s="44">
        <f>SUM(I32,R32)</f>
        <v>0</v>
      </c>
      <c r="AB32" s="44">
        <f>SUM(K32,T32)</f>
        <v>0</v>
      </c>
      <c r="AC32" s="44">
        <f>SUM(M32,V32)</f>
        <v>0</v>
      </c>
      <c r="AD32" s="44">
        <f>SUM(G32:N32,P32:W32)</f>
        <v>25</v>
      </c>
      <c r="AE32" s="44">
        <f>SUM(O32,X32)</f>
        <v>1</v>
      </c>
    </row>
    <row r="33" spans="1:31" ht="23.25" customHeight="1">
      <c r="A33" s="57" t="s">
        <v>125</v>
      </c>
      <c r="B33" s="671" t="s">
        <v>318</v>
      </c>
      <c r="C33" s="672"/>
      <c r="D33" s="312"/>
      <c r="E33" s="313">
        <v>5</v>
      </c>
      <c r="F33" s="313"/>
      <c r="G33" s="54">
        <v>15</v>
      </c>
      <c r="H33" s="54">
        <v>10</v>
      </c>
      <c r="I33" s="54"/>
      <c r="J33" s="54"/>
      <c r="K33" s="54"/>
      <c r="L33" s="54"/>
      <c r="M33" s="54"/>
      <c r="N33" s="54"/>
      <c r="O33" s="54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44">
        <f t="shared" ref="Y33:Y38" si="10">SUM(Z33:AC33)</f>
        <v>15</v>
      </c>
      <c r="Z33" s="44">
        <f>SUM(G33,P33)</f>
        <v>15</v>
      </c>
      <c r="AA33" s="44">
        <f t="shared" ref="AA33:AA38" si="11">SUM(I33,R33)</f>
        <v>0</v>
      </c>
      <c r="AB33" s="44">
        <f t="shared" ref="AB33:AB38" si="12">SUM(K33,T33)</f>
        <v>0</v>
      </c>
      <c r="AC33" s="44">
        <f t="shared" ref="AC33:AC38" si="13">SUM(M33,V33)</f>
        <v>0</v>
      </c>
      <c r="AD33" s="44">
        <f>SUM(G33:N33,P33:W33)</f>
        <v>25</v>
      </c>
      <c r="AE33" s="44">
        <f>SUM(O33,X33)</f>
        <v>1</v>
      </c>
    </row>
    <row r="34" spans="1:31" s="293" customFormat="1" ht="23.25" customHeight="1">
      <c r="A34" s="57" t="s">
        <v>128</v>
      </c>
      <c r="B34" s="671" t="s">
        <v>318</v>
      </c>
      <c r="C34" s="672"/>
      <c r="D34" s="312"/>
      <c r="E34" s="313">
        <v>5</v>
      </c>
      <c r="F34" s="313"/>
      <c r="G34" s="54"/>
      <c r="H34" s="54"/>
      <c r="I34" s="54">
        <v>15</v>
      </c>
      <c r="J34" s="54">
        <v>10</v>
      </c>
      <c r="K34" s="54"/>
      <c r="L34" s="54"/>
      <c r="M34" s="54"/>
      <c r="N34" s="54"/>
      <c r="O34" s="54">
        <v>1</v>
      </c>
      <c r="P34" s="55"/>
      <c r="Q34" s="55"/>
      <c r="R34" s="55"/>
      <c r="S34" s="55"/>
      <c r="T34" s="55"/>
      <c r="U34" s="55"/>
      <c r="V34" s="55"/>
      <c r="W34" s="55"/>
      <c r="X34" s="55"/>
      <c r="Y34" s="44">
        <f>SUM(Z34:AC34)</f>
        <v>15</v>
      </c>
      <c r="Z34" s="44">
        <f>SUM(G34,P34)</f>
        <v>0</v>
      </c>
      <c r="AA34" s="44">
        <f>SUM(I34,R34)</f>
        <v>15</v>
      </c>
      <c r="AB34" s="44">
        <v>0</v>
      </c>
      <c r="AC34" s="44">
        <f>SUM(M34,V34)</f>
        <v>0</v>
      </c>
      <c r="AD34" s="44">
        <f>SUM(G34:N34,P34:W34)</f>
        <v>25</v>
      </c>
      <c r="AE34" s="44">
        <f>SUM(O34,X34)</f>
        <v>1</v>
      </c>
    </row>
    <row r="35" spans="1:31" ht="23.25" customHeight="1">
      <c r="A35" s="57" t="s">
        <v>129</v>
      </c>
      <c r="B35" s="671" t="s">
        <v>318</v>
      </c>
      <c r="C35" s="672"/>
      <c r="D35" s="312"/>
      <c r="E35" s="313">
        <v>5</v>
      </c>
      <c r="F35" s="313"/>
      <c r="G35" s="54"/>
      <c r="H35" s="54"/>
      <c r="I35" s="54">
        <v>15</v>
      </c>
      <c r="J35" s="54">
        <v>10</v>
      </c>
      <c r="K35" s="54"/>
      <c r="L35" s="54"/>
      <c r="M35" s="54"/>
      <c r="N35" s="54"/>
      <c r="O35" s="54">
        <v>1</v>
      </c>
      <c r="P35" s="55"/>
      <c r="Q35" s="55"/>
      <c r="R35" s="55"/>
      <c r="S35" s="55"/>
      <c r="T35" s="55"/>
      <c r="U35" s="55"/>
      <c r="V35" s="55"/>
      <c r="W35" s="55"/>
      <c r="X35" s="55"/>
      <c r="Y35" s="44">
        <f>SUM(Z35:AC35)</f>
        <v>15</v>
      </c>
      <c r="Z35" s="44">
        <f>SUM(G35,P35)</f>
        <v>0</v>
      </c>
      <c r="AA35" s="44">
        <f>SUM(I35,R35)</f>
        <v>15</v>
      </c>
      <c r="AB35" s="44">
        <f>SUM(K35,T35)</f>
        <v>0</v>
      </c>
      <c r="AC35" s="44">
        <f>SUM(M35,V35)</f>
        <v>0</v>
      </c>
      <c r="AD35" s="44">
        <f>SUM(G35:N35,P35:W35)</f>
        <v>25</v>
      </c>
      <c r="AE35" s="44">
        <f>SUM(O35,X35)</f>
        <v>1</v>
      </c>
    </row>
    <row r="36" spans="1:31" s="293" customFormat="1" ht="23.25" customHeight="1">
      <c r="A36" s="57" t="s">
        <v>130</v>
      </c>
      <c r="B36" s="671" t="s">
        <v>318</v>
      </c>
      <c r="C36" s="672"/>
      <c r="D36" s="312"/>
      <c r="E36" s="313">
        <v>6</v>
      </c>
      <c r="F36" s="313"/>
      <c r="G36" s="54"/>
      <c r="H36" s="54"/>
      <c r="I36" s="54"/>
      <c r="J36" s="54"/>
      <c r="K36" s="54"/>
      <c r="L36" s="54"/>
      <c r="M36" s="54"/>
      <c r="N36" s="54"/>
      <c r="O36" s="54"/>
      <c r="P36" s="55">
        <v>15</v>
      </c>
      <c r="Q36" s="55">
        <v>10</v>
      </c>
      <c r="R36" s="55"/>
      <c r="S36" s="55"/>
      <c r="T36" s="55"/>
      <c r="U36" s="55"/>
      <c r="V36" s="55"/>
      <c r="W36" s="55"/>
      <c r="X36" s="55">
        <v>1</v>
      </c>
      <c r="Y36" s="44">
        <f>SUM(Z36:AC36)</f>
        <v>15</v>
      </c>
      <c r="Z36" s="44">
        <f>SUM(G36,P36)</f>
        <v>15</v>
      </c>
      <c r="AA36" s="44">
        <f>SUM(I36,R36)</f>
        <v>0</v>
      </c>
      <c r="AB36" s="44">
        <f>SUM(K36,T36)</f>
        <v>0</v>
      </c>
      <c r="AC36" s="44">
        <f>SUM(M36,V36)</f>
        <v>0</v>
      </c>
      <c r="AD36" s="44">
        <f>SUM(G36:N36,P36:W36)</f>
        <v>25</v>
      </c>
      <c r="AE36" s="44">
        <f>SUM(O36,X36)</f>
        <v>1</v>
      </c>
    </row>
    <row r="37" spans="1:31" ht="23.25" customHeight="1">
      <c r="A37" s="57" t="s">
        <v>131</v>
      </c>
      <c r="B37" s="671" t="s">
        <v>115</v>
      </c>
      <c r="C37" s="672"/>
      <c r="D37" s="312"/>
      <c r="E37" s="313">
        <v>6</v>
      </c>
      <c r="F37" s="313"/>
      <c r="G37" s="54"/>
      <c r="H37" s="54"/>
      <c r="I37" s="54"/>
      <c r="J37" s="54"/>
      <c r="K37" s="54"/>
      <c r="L37" s="54"/>
      <c r="M37" s="54"/>
      <c r="N37" s="54"/>
      <c r="O37" s="54"/>
      <c r="P37" s="55">
        <v>15</v>
      </c>
      <c r="Q37" s="55">
        <v>10</v>
      </c>
      <c r="R37" s="55"/>
      <c r="S37" s="55"/>
      <c r="T37" s="55"/>
      <c r="U37" s="55"/>
      <c r="V37" s="55"/>
      <c r="W37" s="55"/>
      <c r="X37" s="55">
        <v>1</v>
      </c>
      <c r="Y37" s="44">
        <f t="shared" si="10"/>
        <v>15</v>
      </c>
      <c r="Z37" s="44">
        <f t="shared" ref="Z37:Z38" si="14">SUM(G37,P37)</f>
        <v>15</v>
      </c>
      <c r="AA37" s="44">
        <f t="shared" si="11"/>
        <v>0</v>
      </c>
      <c r="AB37" s="44">
        <f t="shared" si="12"/>
        <v>0</v>
      </c>
      <c r="AC37" s="44">
        <f t="shared" si="13"/>
        <v>0</v>
      </c>
      <c r="AD37" s="44">
        <f t="shared" ref="AD37:AD38" si="15">SUM(G37:N37,P37:W37)</f>
        <v>25</v>
      </c>
      <c r="AE37" s="44">
        <f t="shared" ref="AE37:AE38" si="16">SUM(O37,X37)</f>
        <v>1</v>
      </c>
    </row>
    <row r="38" spans="1:31" ht="23.25" customHeight="1">
      <c r="A38" s="57" t="s">
        <v>132</v>
      </c>
      <c r="B38" s="671" t="s">
        <v>115</v>
      </c>
      <c r="C38" s="672"/>
      <c r="D38" s="312"/>
      <c r="E38" s="313">
        <v>6</v>
      </c>
      <c r="F38" s="313"/>
      <c r="G38" s="54"/>
      <c r="H38" s="54"/>
      <c r="I38" s="54"/>
      <c r="J38" s="54"/>
      <c r="K38" s="54"/>
      <c r="L38" s="54"/>
      <c r="M38" s="54"/>
      <c r="N38" s="54"/>
      <c r="O38" s="54"/>
      <c r="P38" s="55">
        <v>15</v>
      </c>
      <c r="Q38" s="55">
        <v>10</v>
      </c>
      <c r="R38" s="55"/>
      <c r="S38" s="55"/>
      <c r="T38" s="55"/>
      <c r="U38" s="55"/>
      <c r="V38" s="55"/>
      <c r="W38" s="55"/>
      <c r="X38" s="55">
        <v>1</v>
      </c>
      <c r="Y38" s="44">
        <f t="shared" si="10"/>
        <v>15</v>
      </c>
      <c r="Z38" s="44">
        <f t="shared" si="14"/>
        <v>15</v>
      </c>
      <c r="AA38" s="44">
        <f t="shared" si="11"/>
        <v>0</v>
      </c>
      <c r="AB38" s="44">
        <f t="shared" si="12"/>
        <v>0</v>
      </c>
      <c r="AC38" s="44">
        <f t="shared" si="13"/>
        <v>0</v>
      </c>
      <c r="AD38" s="44">
        <f t="shared" si="15"/>
        <v>25</v>
      </c>
      <c r="AE38" s="44">
        <f t="shared" si="16"/>
        <v>1</v>
      </c>
    </row>
    <row r="39" spans="1:31" ht="19.5" customHeight="1" thickBot="1">
      <c r="A39" s="668" t="s">
        <v>9</v>
      </c>
      <c r="B39" s="669"/>
      <c r="C39" s="669"/>
      <c r="D39" s="669"/>
      <c r="E39" s="669"/>
      <c r="F39" s="670"/>
      <c r="G39" s="61">
        <f t="shared" ref="G39:AE39" si="17">SUM(G32:G38)</f>
        <v>30</v>
      </c>
      <c r="H39" s="61">
        <f t="shared" si="17"/>
        <v>20</v>
      </c>
      <c r="I39" s="61">
        <f t="shared" si="17"/>
        <v>30</v>
      </c>
      <c r="J39" s="61">
        <f t="shared" si="17"/>
        <v>20</v>
      </c>
      <c r="K39" s="61">
        <f t="shared" si="17"/>
        <v>0</v>
      </c>
      <c r="L39" s="61">
        <f t="shared" si="17"/>
        <v>0</v>
      </c>
      <c r="M39" s="61">
        <f t="shared" si="17"/>
        <v>0</v>
      </c>
      <c r="N39" s="61">
        <f t="shared" si="17"/>
        <v>0</v>
      </c>
      <c r="O39" s="61">
        <f t="shared" si="17"/>
        <v>4</v>
      </c>
      <c r="P39" s="61">
        <f t="shared" si="17"/>
        <v>45</v>
      </c>
      <c r="Q39" s="61">
        <f t="shared" si="17"/>
        <v>30</v>
      </c>
      <c r="R39" s="61">
        <f t="shared" si="17"/>
        <v>0</v>
      </c>
      <c r="S39" s="61">
        <f t="shared" si="17"/>
        <v>0</v>
      </c>
      <c r="T39" s="61">
        <f t="shared" si="17"/>
        <v>0</v>
      </c>
      <c r="U39" s="61">
        <f t="shared" si="17"/>
        <v>0</v>
      </c>
      <c r="V39" s="61">
        <f t="shared" si="17"/>
        <v>0</v>
      </c>
      <c r="W39" s="61">
        <f t="shared" si="17"/>
        <v>0</v>
      </c>
      <c r="X39" s="61">
        <f t="shared" si="17"/>
        <v>3</v>
      </c>
      <c r="Y39" s="61">
        <f t="shared" si="17"/>
        <v>105</v>
      </c>
      <c r="Z39" s="61">
        <f t="shared" si="17"/>
        <v>75</v>
      </c>
      <c r="AA39" s="61">
        <f t="shared" si="17"/>
        <v>30</v>
      </c>
      <c r="AB39" s="61">
        <f t="shared" si="17"/>
        <v>0</v>
      </c>
      <c r="AC39" s="61">
        <f t="shared" si="17"/>
        <v>0</v>
      </c>
      <c r="AD39" s="61">
        <f t="shared" si="17"/>
        <v>175</v>
      </c>
      <c r="AE39" s="61">
        <f t="shared" si="17"/>
        <v>7</v>
      </c>
    </row>
    <row r="40" spans="1:31" ht="25.5" customHeight="1" thickBot="1">
      <c r="A40" s="665" t="s">
        <v>21</v>
      </c>
      <c r="B40" s="666"/>
      <c r="C40" s="666"/>
      <c r="D40" s="666"/>
      <c r="E40" s="666"/>
      <c r="F40" s="667"/>
      <c r="G40" s="328">
        <f t="shared" ref="G40:N40" si="18">SUM(G14,G21,G24,G30,G27,G39)</f>
        <v>145</v>
      </c>
      <c r="H40" s="328">
        <f t="shared" si="18"/>
        <v>155</v>
      </c>
      <c r="I40" s="328">
        <f t="shared" si="18"/>
        <v>220</v>
      </c>
      <c r="J40" s="328">
        <f t="shared" si="18"/>
        <v>180</v>
      </c>
      <c r="K40" s="328">
        <f t="shared" si="18"/>
        <v>50</v>
      </c>
      <c r="L40" s="328">
        <f t="shared" si="18"/>
        <v>0</v>
      </c>
      <c r="M40" s="328">
        <f t="shared" si="18"/>
        <v>0</v>
      </c>
      <c r="N40" s="328">
        <f t="shared" si="18"/>
        <v>0</v>
      </c>
      <c r="O40" s="328">
        <f>SUM(O39,O27,O30,O24,O21,O14)</f>
        <v>30</v>
      </c>
      <c r="P40" s="328">
        <f t="shared" ref="P40:W40" si="19">SUM(P14,P21,P24,P30,P27,P39)</f>
        <v>150</v>
      </c>
      <c r="Q40" s="328">
        <f t="shared" si="19"/>
        <v>200</v>
      </c>
      <c r="R40" s="328">
        <f t="shared" si="19"/>
        <v>145</v>
      </c>
      <c r="S40" s="328">
        <f t="shared" si="19"/>
        <v>115</v>
      </c>
      <c r="T40" s="328">
        <f t="shared" si="19"/>
        <v>160</v>
      </c>
      <c r="U40" s="328">
        <f t="shared" si="19"/>
        <v>0</v>
      </c>
      <c r="V40" s="328">
        <f t="shared" si="19"/>
        <v>0</v>
      </c>
      <c r="W40" s="328">
        <f t="shared" si="19"/>
        <v>0</v>
      </c>
      <c r="X40" s="328">
        <f>SUM(X39,X30,X27,X24,X21,X14)</f>
        <v>30</v>
      </c>
      <c r="Y40" s="328">
        <f t="shared" ref="Y40:AD40" si="20">SUM(Y14,Y21,Y24,Y30,Y27,Y39)</f>
        <v>800</v>
      </c>
      <c r="Z40" s="328">
        <f t="shared" si="20"/>
        <v>265</v>
      </c>
      <c r="AA40" s="328">
        <f t="shared" si="20"/>
        <v>325</v>
      </c>
      <c r="AB40" s="328">
        <f t="shared" si="20"/>
        <v>210</v>
      </c>
      <c r="AC40" s="328">
        <f t="shared" si="20"/>
        <v>0</v>
      </c>
      <c r="AD40" s="328">
        <f t="shared" si="20"/>
        <v>1345</v>
      </c>
      <c r="AE40" s="328">
        <f>SUM(AE39,AE27,AE30,AE24,AE21,AE14)</f>
        <v>60</v>
      </c>
    </row>
    <row r="41" spans="1:31">
      <c r="A41" s="388"/>
      <c r="B41" s="389" t="s">
        <v>319</v>
      </c>
      <c r="C41" s="382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</row>
    <row r="42" spans="1:31" ht="18">
      <c r="A42" s="628" t="s">
        <v>343</v>
      </c>
      <c r="B42" s="628"/>
      <c r="C42" s="628"/>
      <c r="D42" s="628"/>
      <c r="E42" s="628"/>
      <c r="F42" s="628"/>
      <c r="G42" s="628"/>
      <c r="H42" s="628"/>
      <c r="I42" s="628"/>
      <c r="J42" s="628"/>
      <c r="K42" s="628"/>
      <c r="L42" s="628"/>
      <c r="M42" s="628"/>
      <c r="N42" s="628"/>
      <c r="O42" s="628"/>
      <c r="P42" s="628"/>
      <c r="Q42" s="628"/>
      <c r="R42" s="628"/>
      <c r="S42" s="628"/>
      <c r="T42" s="628"/>
      <c r="U42" s="628"/>
      <c r="V42" s="628"/>
      <c r="W42" s="628"/>
      <c r="X42" s="628"/>
      <c r="Y42" s="628"/>
      <c r="Z42" s="628"/>
      <c r="AA42" s="628"/>
      <c r="AB42" s="628"/>
      <c r="AC42" s="628"/>
      <c r="AD42" s="628"/>
      <c r="AE42" s="628"/>
    </row>
    <row r="43" spans="1:31" ht="21">
      <c r="A43" s="390"/>
      <c r="B43" s="391"/>
      <c r="C43" s="392"/>
      <c r="D43" s="393"/>
      <c r="E43" s="393"/>
      <c r="F43" s="393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5"/>
      <c r="S43" s="395"/>
      <c r="T43" s="395"/>
      <c r="U43" s="395"/>
      <c r="V43" s="395"/>
      <c r="W43" s="395"/>
      <c r="X43" s="395"/>
      <c r="Y43" s="394"/>
      <c r="Z43" s="394"/>
      <c r="AA43" s="394"/>
      <c r="AB43" s="394"/>
      <c r="AC43" s="394"/>
      <c r="AD43" s="394"/>
      <c r="AE43" s="394"/>
    </row>
    <row r="44" spans="1:31" ht="30" customHeight="1">
      <c r="A44" s="519" t="s">
        <v>137</v>
      </c>
      <c r="B44" s="520" t="s">
        <v>179</v>
      </c>
      <c r="C44" s="507" t="str">
        <f>"0912-7LEK-F-"&amp;A44&amp;"-"&amp;UPPER(LEFT(B44,1))&amp;"N"</f>
        <v>0912-7LEK-F-16-PN</v>
      </c>
      <c r="D44" s="312"/>
      <c r="E44" s="313">
        <v>5</v>
      </c>
      <c r="F44" s="313"/>
      <c r="G44" s="54">
        <v>15</v>
      </c>
      <c r="H44" s="54">
        <v>10</v>
      </c>
      <c r="I44" s="54"/>
      <c r="J44" s="54"/>
      <c r="K44" s="54"/>
      <c r="L44" s="54"/>
      <c r="M44" s="54"/>
      <c r="N44" s="54"/>
      <c r="O44" s="54">
        <v>1</v>
      </c>
      <c r="P44" s="55"/>
      <c r="Q44" s="55"/>
      <c r="R44" s="55"/>
      <c r="S44" s="55"/>
      <c r="T44" s="55"/>
      <c r="U44" s="55"/>
      <c r="V44" s="55"/>
      <c r="W44" s="55"/>
      <c r="X44" s="55"/>
      <c r="Y44" s="44">
        <f>SUM(G44,I44,K44,M44,P44,R44,T44,V44)</f>
        <v>15</v>
      </c>
      <c r="Z44" s="44">
        <f>SUM(G44,P44)</f>
        <v>15</v>
      </c>
      <c r="AA44" s="44">
        <f>SUM(I44,R44)</f>
        <v>0</v>
      </c>
      <c r="AB44" s="44">
        <f>SUM(K44,T44)</f>
        <v>0</v>
      </c>
      <c r="AC44" s="44">
        <f>SUM(M44,V44)</f>
        <v>0</v>
      </c>
      <c r="AD44" s="44">
        <f>SUM(G44:N44,P44:W44)</f>
        <v>25</v>
      </c>
      <c r="AE44" s="44">
        <f>SUM(O44,X44)</f>
        <v>1</v>
      </c>
    </row>
    <row r="45" spans="1:31" ht="35.25" customHeight="1">
      <c r="A45" s="519" t="s">
        <v>138</v>
      </c>
      <c r="B45" s="520" t="s">
        <v>187</v>
      </c>
      <c r="C45" s="507" t="str">
        <f>"0912-7LEK-F-"&amp;A45&amp;"-"&amp;UPPER(LEFT(B45,1))&amp;"T"</f>
        <v>0912-7LEK-F-17-PT</v>
      </c>
      <c r="D45" s="312"/>
      <c r="E45" s="313">
        <v>5</v>
      </c>
      <c r="F45" s="313"/>
      <c r="G45" s="54">
        <v>15</v>
      </c>
      <c r="H45" s="54">
        <v>10</v>
      </c>
      <c r="I45" s="54"/>
      <c r="J45" s="54"/>
      <c r="K45" s="54"/>
      <c r="L45" s="54"/>
      <c r="M45" s="54"/>
      <c r="N45" s="54"/>
      <c r="O45" s="54">
        <v>1</v>
      </c>
      <c r="P45" s="55"/>
      <c r="Q45" s="55"/>
      <c r="R45" s="55"/>
      <c r="S45" s="55"/>
      <c r="T45" s="55"/>
      <c r="U45" s="55"/>
      <c r="V45" s="55"/>
      <c r="W45" s="55"/>
      <c r="X45" s="55"/>
      <c r="Y45" s="44">
        <f t="shared" ref="Y45:Y52" si="21">SUM(G45,I45,K45,M45,P45,R45,T45,V45)</f>
        <v>15</v>
      </c>
      <c r="Z45" s="44">
        <f>SUM(G45,P45)</f>
        <v>15</v>
      </c>
      <c r="AA45" s="44">
        <f>SUM(I45,R45)</f>
        <v>0</v>
      </c>
      <c r="AB45" s="44">
        <f>SUM(K45,T45)</f>
        <v>0</v>
      </c>
      <c r="AC45" s="44">
        <f>SUM(M45,V45)</f>
        <v>0</v>
      </c>
      <c r="AD45" s="44">
        <f>SUM(G45:N45,P45:W45)</f>
        <v>25</v>
      </c>
      <c r="AE45" s="44">
        <f>SUM(O45,X45)</f>
        <v>1</v>
      </c>
    </row>
    <row r="46" spans="1:31" ht="35.25" customHeight="1">
      <c r="A46" s="519" t="s">
        <v>146</v>
      </c>
      <c r="B46" s="520" t="s">
        <v>507</v>
      </c>
      <c r="C46" s="507" t="s">
        <v>516</v>
      </c>
      <c r="D46" s="312"/>
      <c r="E46" s="313">
        <v>5</v>
      </c>
      <c r="F46" s="313"/>
      <c r="G46" s="54">
        <v>15</v>
      </c>
      <c r="H46" s="54">
        <v>10</v>
      </c>
      <c r="I46" s="54"/>
      <c r="J46" s="54"/>
      <c r="K46" s="54"/>
      <c r="L46" s="54"/>
      <c r="M46" s="54"/>
      <c r="N46" s="54"/>
      <c r="O46" s="54">
        <v>1</v>
      </c>
      <c r="P46" s="55"/>
      <c r="Q46" s="55"/>
      <c r="R46" s="55"/>
      <c r="S46" s="55"/>
      <c r="T46" s="55"/>
      <c r="U46" s="55"/>
      <c r="V46" s="55"/>
      <c r="W46" s="55"/>
      <c r="X46" s="55"/>
      <c r="Y46" s="44">
        <f>SUM(G46,I46,K46,M46,P46,R46,T46,V46)</f>
        <v>15</v>
      </c>
      <c r="Z46" s="44">
        <f>SUM(G46,P46)</f>
        <v>15</v>
      </c>
      <c r="AA46" s="44">
        <f>SUM(I46,R46)</f>
        <v>0</v>
      </c>
      <c r="AB46" s="44">
        <f>SUM(K46,T46)</f>
        <v>0</v>
      </c>
      <c r="AC46" s="44">
        <f>SUM(M46,V46)</f>
        <v>0</v>
      </c>
      <c r="AD46" s="44">
        <f>SUM(G46:N46,P46:W46)</f>
        <v>25</v>
      </c>
      <c r="AE46" s="44">
        <f>SUM(O46,X46)</f>
        <v>1</v>
      </c>
    </row>
    <row r="47" spans="1:31" s="12" customFormat="1" ht="33.75" customHeight="1">
      <c r="A47" s="519" t="s">
        <v>147</v>
      </c>
      <c r="B47" s="521" t="s">
        <v>114</v>
      </c>
      <c r="C47" s="507" t="str">
        <f>"0912-7LEK-F-"&amp;A47&amp;"-"&amp;UPPER(LEFT(B47,1))&amp;"T"</f>
        <v>0912-7LEK-F-19-NT</v>
      </c>
      <c r="D47" s="312"/>
      <c r="E47" s="313">
        <v>5</v>
      </c>
      <c r="F47" s="313"/>
      <c r="G47" s="54"/>
      <c r="H47" s="54"/>
      <c r="I47" s="54">
        <v>15</v>
      </c>
      <c r="J47" s="54">
        <v>10</v>
      </c>
      <c r="K47" s="54"/>
      <c r="L47" s="54"/>
      <c r="M47" s="54"/>
      <c r="N47" s="54"/>
      <c r="O47" s="54">
        <v>1</v>
      </c>
      <c r="P47" s="55"/>
      <c r="Q47" s="55"/>
      <c r="R47" s="55"/>
      <c r="S47" s="55"/>
      <c r="T47" s="55"/>
      <c r="U47" s="55"/>
      <c r="V47" s="55"/>
      <c r="W47" s="55"/>
      <c r="X47" s="55"/>
      <c r="Y47" s="44">
        <f>SUM(G47,I47,K47,M47,P47,R47,T47,V47)</f>
        <v>15</v>
      </c>
      <c r="Z47" s="44">
        <f>SUM(G47,P47)</f>
        <v>0</v>
      </c>
      <c r="AA47" s="44">
        <f>SUM(I47,R47)</f>
        <v>15</v>
      </c>
      <c r="AB47" s="44">
        <f>SUM(K47,T47)</f>
        <v>0</v>
      </c>
      <c r="AC47" s="44">
        <f>SUM(M47,V47)</f>
        <v>0</v>
      </c>
      <c r="AD47" s="44">
        <f>SUM(G47:N47,P47:W47)</f>
        <v>25</v>
      </c>
      <c r="AE47" s="44">
        <f>SUM(O47,X47)</f>
        <v>1</v>
      </c>
    </row>
    <row r="48" spans="1:31" ht="48.75" customHeight="1">
      <c r="A48" s="519" t="s">
        <v>148</v>
      </c>
      <c r="B48" s="520" t="s">
        <v>555</v>
      </c>
      <c r="C48" s="507" t="str">
        <f>"0912-7LEK-F-"&amp;A48&amp;"-"&amp;UPPER(LEFT(B48,1))&amp;"K"</f>
        <v>0912-7LEK-F-20-IK</v>
      </c>
      <c r="D48" s="312"/>
      <c r="E48" s="313">
        <v>5</v>
      </c>
      <c r="F48" s="313"/>
      <c r="G48" s="54"/>
      <c r="H48" s="54"/>
      <c r="I48" s="54">
        <v>15</v>
      </c>
      <c r="J48" s="54">
        <v>10</v>
      </c>
      <c r="K48" s="54"/>
      <c r="L48" s="54"/>
      <c r="M48" s="54"/>
      <c r="N48" s="54"/>
      <c r="O48" s="54">
        <v>1</v>
      </c>
      <c r="P48" s="55"/>
      <c r="Q48" s="55"/>
      <c r="R48" s="55"/>
      <c r="S48" s="55"/>
      <c r="T48" s="55"/>
      <c r="U48" s="55"/>
      <c r="V48" s="55"/>
      <c r="W48" s="55"/>
      <c r="X48" s="55"/>
      <c r="Y48" s="44">
        <f>SUM(G48,I48,K48,M48,P48,R48,T48,V48)</f>
        <v>15</v>
      </c>
      <c r="Z48" s="44">
        <f t="shared" ref="Z48:Z52" si="22">SUM(G48,P48)</f>
        <v>0</v>
      </c>
      <c r="AA48" s="44">
        <f t="shared" ref="AA48:AA52" si="23">SUM(I48,R48)</f>
        <v>15</v>
      </c>
      <c r="AB48" s="44">
        <f>SUM(K48,T48)</f>
        <v>0</v>
      </c>
      <c r="AC48" s="44">
        <f t="shared" ref="AC48:AC52" si="24">SUM(M48,V48)</f>
        <v>0</v>
      </c>
      <c r="AD48" s="44">
        <f t="shared" ref="AD48:AD52" si="25">SUM(G48:N48,P48:W48)</f>
        <v>25</v>
      </c>
      <c r="AE48" s="44">
        <f t="shared" ref="AE48:AE52" si="26">SUM(O48,X48)</f>
        <v>1</v>
      </c>
    </row>
    <row r="49" spans="1:31" ht="46.5">
      <c r="A49" s="519" t="s">
        <v>149</v>
      </c>
      <c r="B49" s="520" t="s">
        <v>556</v>
      </c>
      <c r="C49" s="507" t="str">
        <f>"0912-7LEK-F-"&amp;A49&amp;"-"&amp;UPPER(LEFT(B49,1))&amp;"M"</f>
        <v>0912-7LEK-F-21-JM</v>
      </c>
      <c r="D49" s="312"/>
      <c r="E49" s="313">
        <v>5</v>
      </c>
      <c r="F49" s="313"/>
      <c r="G49" s="54"/>
      <c r="H49" s="54"/>
      <c r="I49" s="54">
        <v>15</v>
      </c>
      <c r="J49" s="54">
        <v>10</v>
      </c>
      <c r="K49" s="54"/>
      <c r="L49" s="54"/>
      <c r="M49" s="54"/>
      <c r="N49" s="54"/>
      <c r="O49" s="54">
        <v>1</v>
      </c>
      <c r="P49" s="55"/>
      <c r="Q49" s="55"/>
      <c r="R49" s="55"/>
      <c r="S49" s="55"/>
      <c r="T49" s="55"/>
      <c r="U49" s="55"/>
      <c r="V49" s="55"/>
      <c r="W49" s="55"/>
      <c r="X49" s="55"/>
      <c r="Y49" s="44">
        <f t="shared" si="21"/>
        <v>15</v>
      </c>
      <c r="Z49" s="44">
        <f t="shared" si="22"/>
        <v>0</v>
      </c>
      <c r="AA49" s="44">
        <f t="shared" si="23"/>
        <v>15</v>
      </c>
      <c r="AB49" s="44">
        <f t="shared" ref="AB49:AB52" si="27">SUM(K49,T49)</f>
        <v>0</v>
      </c>
      <c r="AC49" s="44">
        <f t="shared" si="24"/>
        <v>0</v>
      </c>
      <c r="AD49" s="44">
        <f t="shared" si="25"/>
        <v>25</v>
      </c>
      <c r="AE49" s="44">
        <f t="shared" si="26"/>
        <v>1</v>
      </c>
    </row>
    <row r="50" spans="1:31" ht="45.75" customHeight="1">
      <c r="A50" s="519" t="s">
        <v>188</v>
      </c>
      <c r="B50" s="520" t="s">
        <v>508</v>
      </c>
      <c r="C50" s="507" t="str">
        <f>"0912-7LEK-F-"&amp;A50&amp;"-"&amp;UPPER(LEFT(B50,1))&amp;"M"</f>
        <v>0912-7LEK-F-22-BM</v>
      </c>
      <c r="D50" s="312"/>
      <c r="E50" s="313">
        <v>6</v>
      </c>
      <c r="F50" s="313"/>
      <c r="G50" s="54"/>
      <c r="H50" s="54"/>
      <c r="I50" s="54"/>
      <c r="J50" s="54"/>
      <c r="K50" s="54"/>
      <c r="L50" s="54"/>
      <c r="M50" s="54"/>
      <c r="N50" s="54"/>
      <c r="O50" s="54"/>
      <c r="P50" s="55">
        <v>15</v>
      </c>
      <c r="Q50" s="55">
        <v>10</v>
      </c>
      <c r="R50" s="55"/>
      <c r="S50" s="55"/>
      <c r="T50" s="55"/>
      <c r="U50" s="55"/>
      <c r="V50" s="55"/>
      <c r="W50" s="55"/>
      <c r="X50" s="55">
        <v>1</v>
      </c>
      <c r="Y50" s="44">
        <f t="shared" si="21"/>
        <v>15</v>
      </c>
      <c r="Z50" s="44">
        <f t="shared" si="22"/>
        <v>15</v>
      </c>
      <c r="AA50" s="44">
        <f t="shared" si="23"/>
        <v>0</v>
      </c>
      <c r="AB50" s="44">
        <f t="shared" si="27"/>
        <v>0</v>
      </c>
      <c r="AC50" s="44">
        <f t="shared" si="24"/>
        <v>0</v>
      </c>
      <c r="AD50" s="44">
        <f t="shared" si="25"/>
        <v>25</v>
      </c>
      <c r="AE50" s="44">
        <f t="shared" si="26"/>
        <v>1</v>
      </c>
    </row>
    <row r="51" spans="1:31" ht="37.5" customHeight="1">
      <c r="A51" s="519" t="s">
        <v>189</v>
      </c>
      <c r="B51" s="520" t="s">
        <v>509</v>
      </c>
      <c r="C51" s="507" t="s">
        <v>517</v>
      </c>
      <c r="D51" s="312"/>
      <c r="E51" s="313">
        <v>6</v>
      </c>
      <c r="F51" s="313"/>
      <c r="G51" s="54"/>
      <c r="H51" s="54"/>
      <c r="I51" s="54"/>
      <c r="J51" s="54"/>
      <c r="K51" s="54"/>
      <c r="L51" s="54"/>
      <c r="M51" s="54"/>
      <c r="N51" s="54"/>
      <c r="O51" s="54"/>
      <c r="P51" s="55">
        <v>15</v>
      </c>
      <c r="Q51" s="55">
        <v>10</v>
      </c>
      <c r="R51" s="55"/>
      <c r="S51" s="55"/>
      <c r="T51" s="55"/>
      <c r="U51" s="55"/>
      <c r="V51" s="55"/>
      <c r="W51" s="55"/>
      <c r="X51" s="55">
        <v>1</v>
      </c>
      <c r="Y51" s="44">
        <f t="shared" si="21"/>
        <v>15</v>
      </c>
      <c r="Z51" s="44">
        <f t="shared" si="22"/>
        <v>15</v>
      </c>
      <c r="AA51" s="44">
        <f t="shared" si="23"/>
        <v>0</v>
      </c>
      <c r="AB51" s="44">
        <f t="shared" si="27"/>
        <v>0</v>
      </c>
      <c r="AC51" s="44">
        <f t="shared" si="24"/>
        <v>0</v>
      </c>
      <c r="AD51" s="44">
        <f t="shared" si="25"/>
        <v>25</v>
      </c>
      <c r="AE51" s="44">
        <f t="shared" si="26"/>
        <v>1</v>
      </c>
    </row>
    <row r="52" spans="1:31" ht="30.75" customHeight="1">
      <c r="A52" s="519" t="s">
        <v>190</v>
      </c>
      <c r="B52" s="520" t="s">
        <v>180</v>
      </c>
      <c r="C52" s="507" t="str">
        <f>"0912-7LEK-F-"&amp;A52&amp;"-"&amp;UPPER(LEFT(B52,1))&amp;"UE"</f>
        <v>0912-7LEK-F-24-PUE</v>
      </c>
      <c r="D52" s="312"/>
      <c r="E52" s="313">
        <v>6</v>
      </c>
      <c r="F52" s="313"/>
      <c r="G52" s="54"/>
      <c r="H52" s="54"/>
      <c r="I52" s="54"/>
      <c r="J52" s="54"/>
      <c r="K52" s="54"/>
      <c r="L52" s="54"/>
      <c r="M52" s="54"/>
      <c r="N52" s="54"/>
      <c r="O52" s="54"/>
      <c r="P52" s="55">
        <v>15</v>
      </c>
      <c r="Q52" s="55">
        <v>10</v>
      </c>
      <c r="R52" s="55"/>
      <c r="S52" s="55"/>
      <c r="T52" s="55"/>
      <c r="U52" s="55"/>
      <c r="V52" s="55"/>
      <c r="W52" s="55"/>
      <c r="X52" s="55">
        <v>1</v>
      </c>
      <c r="Y52" s="44">
        <f t="shared" si="21"/>
        <v>15</v>
      </c>
      <c r="Z52" s="44">
        <f t="shared" si="22"/>
        <v>15</v>
      </c>
      <c r="AA52" s="44">
        <f t="shared" si="23"/>
        <v>0</v>
      </c>
      <c r="AB52" s="44">
        <f t="shared" si="27"/>
        <v>0</v>
      </c>
      <c r="AC52" s="44">
        <f t="shared" si="24"/>
        <v>0</v>
      </c>
      <c r="AD52" s="44">
        <f t="shared" si="25"/>
        <v>25</v>
      </c>
      <c r="AE52" s="44">
        <f t="shared" si="26"/>
        <v>1</v>
      </c>
    </row>
    <row r="53" spans="1:31" s="12" customFormat="1" ht="33.75" customHeight="1">
      <c r="A53" s="519" t="s">
        <v>191</v>
      </c>
      <c r="B53" s="521" t="s">
        <v>113</v>
      </c>
      <c r="C53" s="507" t="str">
        <f>"0912-7LEK-F-"&amp;A53&amp;"-"&amp;UPPER(LEFT(B53,1))&amp;"SMŻ"</f>
        <v>0912-7LEK-F-25-ASMŻ</v>
      </c>
      <c r="D53" s="312"/>
      <c r="E53" s="313">
        <v>6</v>
      </c>
      <c r="F53" s="313"/>
      <c r="G53" s="54"/>
      <c r="H53" s="54"/>
      <c r="I53" s="54"/>
      <c r="J53" s="54"/>
      <c r="K53" s="54"/>
      <c r="L53" s="54"/>
      <c r="M53" s="54"/>
      <c r="N53" s="396"/>
      <c r="O53" s="54"/>
      <c r="P53" s="55">
        <v>15</v>
      </c>
      <c r="Q53" s="55">
        <v>10</v>
      </c>
      <c r="R53" s="55"/>
      <c r="S53" s="55"/>
      <c r="T53" s="55"/>
      <c r="U53" s="55"/>
      <c r="V53" s="55"/>
      <c r="W53" s="55"/>
      <c r="X53" s="55">
        <v>1</v>
      </c>
      <c r="Y53" s="44">
        <f>SUM(G53,I53,K53,M53,P53,R53,T53,V53)</f>
        <v>15</v>
      </c>
      <c r="Z53" s="44">
        <f>SUM(G53,P53)</f>
        <v>15</v>
      </c>
      <c r="AA53" s="44">
        <f>SUM(I53,R53)</f>
        <v>0</v>
      </c>
      <c r="AB53" s="44">
        <f>SUM(K53,T53)</f>
        <v>0</v>
      </c>
      <c r="AC53" s="44">
        <f>SUM(M53,V53)</f>
        <v>0</v>
      </c>
      <c r="AD53" s="44">
        <f>SUM(G53:N53,P53:W53)</f>
        <v>25</v>
      </c>
      <c r="AE53" s="44">
        <f>SUM(O53,X53)</f>
        <v>1</v>
      </c>
    </row>
    <row r="54" spans="1:31" ht="21">
      <c r="A54" s="391"/>
      <c r="B54" s="391"/>
      <c r="C54" s="392"/>
      <c r="D54" s="393"/>
      <c r="E54" s="393"/>
      <c r="F54" s="393"/>
      <c r="G54" s="674"/>
      <c r="H54" s="674"/>
      <c r="I54" s="674"/>
      <c r="J54" s="674"/>
      <c r="K54" s="674"/>
      <c r="L54" s="674"/>
      <c r="M54" s="674"/>
      <c r="N54" s="674"/>
      <c r="O54" s="674"/>
      <c r="P54" s="674"/>
      <c r="Q54" s="674"/>
      <c r="R54" s="674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</row>
    <row r="55" spans="1:31" ht="21">
      <c r="A55" s="391"/>
      <c r="B55" s="391"/>
      <c r="C55" s="392"/>
      <c r="D55" s="393"/>
      <c r="E55" s="393"/>
      <c r="F55" s="393"/>
      <c r="G55" s="397"/>
      <c r="H55" s="397"/>
      <c r="I55" s="397"/>
      <c r="J55" s="397"/>
      <c r="K55" s="298" t="s">
        <v>122</v>
      </c>
      <c r="L55" s="397"/>
      <c r="M55" s="397"/>
      <c r="N55" s="397"/>
      <c r="O55" s="383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</row>
    <row r="56" spans="1:31" ht="21">
      <c r="A56" s="391"/>
      <c r="B56" s="391"/>
      <c r="C56" s="392"/>
      <c r="D56" s="393"/>
      <c r="E56" s="393"/>
      <c r="F56" s="393"/>
      <c r="G56" s="397"/>
      <c r="H56" s="397"/>
      <c r="I56" s="397"/>
      <c r="J56" s="397"/>
      <c r="K56" s="397"/>
      <c r="L56" s="397"/>
      <c r="M56" s="397"/>
      <c r="N56" s="397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</row>
    <row r="57" spans="1:31" ht="21">
      <c r="A57" s="391"/>
      <c r="B57" s="391"/>
      <c r="C57" s="392"/>
      <c r="D57" s="393"/>
      <c r="E57" s="393"/>
      <c r="F57" s="393"/>
      <c r="G57" s="397"/>
      <c r="H57" s="397"/>
      <c r="I57" s="397"/>
      <c r="J57" s="397"/>
      <c r="K57" s="397"/>
      <c r="L57" s="397"/>
      <c r="M57" s="397"/>
      <c r="N57" s="397"/>
      <c r="O57" s="383"/>
      <c r="P57" s="383"/>
      <c r="Q57" s="383"/>
      <c r="R57" s="383"/>
      <c r="S57" s="383"/>
      <c r="T57" s="383"/>
      <c r="U57" s="383"/>
      <c r="V57" s="383"/>
      <c r="W57" s="383"/>
      <c r="X57" s="383"/>
      <c r="Y57" s="383"/>
      <c r="Z57" s="383"/>
      <c r="AA57" s="383"/>
      <c r="AB57" s="383"/>
      <c r="AC57" s="383"/>
      <c r="AD57" s="383"/>
      <c r="AE57" s="383"/>
    </row>
    <row r="58" spans="1:31" ht="21">
      <c r="A58" s="391"/>
      <c r="B58" s="391"/>
      <c r="C58" s="392"/>
      <c r="D58" s="393"/>
      <c r="E58" s="393"/>
      <c r="F58" s="393"/>
      <c r="G58" s="397"/>
      <c r="H58" s="397"/>
      <c r="I58" s="397"/>
      <c r="J58" s="397"/>
      <c r="K58" s="397"/>
      <c r="L58" s="397"/>
      <c r="M58" s="397"/>
      <c r="N58" s="397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</row>
    <row r="59" spans="1:31" ht="21">
      <c r="A59" s="388"/>
      <c r="B59" s="298" t="s">
        <v>326</v>
      </c>
      <c r="C59" s="298"/>
      <c r="D59" s="298"/>
      <c r="E59" s="298"/>
      <c r="F59" s="298"/>
      <c r="G59" s="298"/>
      <c r="H59" s="298"/>
      <c r="I59" s="298"/>
      <c r="J59" s="298"/>
      <c r="K59" s="383"/>
      <c r="L59" s="383"/>
      <c r="M59" s="383"/>
      <c r="N59" s="383"/>
      <c r="O59" s="383"/>
      <c r="P59" s="383"/>
      <c r="Q59" s="383"/>
      <c r="R59" s="464"/>
      <c r="S59" s="464"/>
      <c r="T59" s="464"/>
      <c r="U59" s="464"/>
      <c r="V59" s="464"/>
      <c r="W59" s="464"/>
      <c r="X59" s="464"/>
      <c r="Y59" s="464"/>
      <c r="Z59" s="464"/>
      <c r="AA59" s="464"/>
      <c r="AB59" s="383"/>
      <c r="AC59" s="383"/>
      <c r="AD59" s="383"/>
      <c r="AE59" s="383"/>
    </row>
    <row r="60" spans="1:31" ht="21">
      <c r="A60" s="399"/>
      <c r="B60" s="298" t="s">
        <v>497</v>
      </c>
      <c r="C60" s="298"/>
      <c r="D60" s="298"/>
      <c r="E60" s="298"/>
      <c r="F60" s="298"/>
      <c r="G60" s="298"/>
      <c r="H60" s="298"/>
      <c r="I60" s="298"/>
      <c r="J60" s="298"/>
      <c r="K60" s="383"/>
      <c r="L60" s="383"/>
      <c r="M60" s="383"/>
      <c r="N60" s="383"/>
      <c r="O60" s="383"/>
      <c r="P60" s="383"/>
      <c r="Q60" s="383"/>
      <c r="R60" s="464"/>
      <c r="S60" s="464"/>
      <c r="T60" s="464"/>
      <c r="U60" s="464"/>
      <c r="V60" s="464"/>
      <c r="W60" s="464"/>
      <c r="X60" s="464"/>
      <c r="Y60" s="464"/>
      <c r="Z60" s="464"/>
      <c r="AA60" s="464"/>
      <c r="AB60" s="383"/>
      <c r="AC60" s="383"/>
      <c r="AD60" s="383"/>
      <c r="AE60" s="383"/>
    </row>
    <row r="61" spans="1:31" ht="21">
      <c r="A61" s="401"/>
      <c r="B61" s="400" t="s">
        <v>356</v>
      </c>
      <c r="C61" s="400"/>
      <c r="D61" s="400"/>
      <c r="E61" s="400"/>
      <c r="F61" s="400"/>
      <c r="G61" s="400"/>
      <c r="H61" s="400"/>
      <c r="I61" s="298"/>
      <c r="J61" s="298"/>
      <c r="K61" s="383"/>
      <c r="L61" s="383"/>
      <c r="M61" s="383"/>
      <c r="N61" s="383"/>
      <c r="O61" s="383"/>
      <c r="P61" s="383"/>
      <c r="Q61" s="383"/>
      <c r="R61" s="464"/>
      <c r="S61" s="464"/>
      <c r="T61" s="464"/>
      <c r="U61" s="464"/>
      <c r="V61" s="464"/>
      <c r="W61" s="464"/>
      <c r="X61" s="464"/>
      <c r="Y61" s="464"/>
      <c r="Z61" s="464"/>
      <c r="AA61" s="464"/>
      <c r="AB61" s="402"/>
      <c r="AC61" s="402"/>
      <c r="AD61" s="402"/>
      <c r="AE61" s="402"/>
    </row>
    <row r="62" spans="1:31" ht="21">
      <c r="A62" s="403"/>
      <c r="B62" s="400" t="s">
        <v>466</v>
      </c>
      <c r="C62" s="400"/>
      <c r="D62" s="400"/>
      <c r="E62" s="400"/>
      <c r="F62" s="400"/>
      <c r="G62" s="400"/>
      <c r="H62" s="400"/>
      <c r="I62" s="298"/>
      <c r="J62" s="298"/>
      <c r="K62" s="383"/>
      <c r="L62" s="383"/>
      <c r="M62" s="383"/>
      <c r="N62" s="383"/>
      <c r="O62" s="383"/>
      <c r="P62" s="383"/>
      <c r="Q62" s="383"/>
      <c r="R62" s="464"/>
      <c r="S62" s="464"/>
      <c r="T62" s="464"/>
      <c r="U62" s="464"/>
      <c r="V62" s="464"/>
      <c r="W62" s="464"/>
      <c r="X62" s="464"/>
      <c r="Y62" s="464"/>
      <c r="Z62" s="464"/>
      <c r="AA62" s="464"/>
      <c r="AB62" s="383"/>
      <c r="AC62" s="383"/>
      <c r="AD62" s="383"/>
      <c r="AE62" s="383"/>
    </row>
    <row r="63" spans="1:31" ht="21">
      <c r="A63" s="382"/>
      <c r="B63" s="400" t="s">
        <v>488</v>
      </c>
      <c r="C63" s="400"/>
      <c r="D63" s="400"/>
      <c r="E63" s="400"/>
      <c r="F63" s="400"/>
      <c r="G63" s="400"/>
      <c r="H63" s="400"/>
      <c r="I63" s="298"/>
      <c r="J63" s="298"/>
      <c r="K63" s="383"/>
      <c r="L63" s="383"/>
      <c r="M63" s="383"/>
      <c r="N63" s="383"/>
      <c r="O63" s="383"/>
      <c r="P63" s="383"/>
      <c r="Q63" s="383"/>
      <c r="R63" s="464"/>
      <c r="S63" s="464"/>
      <c r="T63" s="464"/>
      <c r="U63" s="464"/>
      <c r="V63" s="464"/>
      <c r="W63" s="464"/>
      <c r="X63" s="464"/>
      <c r="Y63" s="464"/>
      <c r="Z63" s="464"/>
      <c r="AA63" s="464"/>
      <c r="AB63" s="383"/>
      <c r="AC63" s="383"/>
      <c r="AD63" s="383"/>
      <c r="AE63" s="383"/>
    </row>
    <row r="64" spans="1:31" ht="21">
      <c r="A64" s="2"/>
      <c r="B64" s="400" t="s">
        <v>467</v>
      </c>
      <c r="C64" s="400"/>
      <c r="D64" s="400"/>
      <c r="E64" s="400"/>
      <c r="F64" s="400"/>
      <c r="G64" s="400"/>
      <c r="H64" s="400"/>
      <c r="I64" s="298"/>
      <c r="J64" s="298"/>
      <c r="K64" s="383"/>
      <c r="L64" s="383"/>
      <c r="M64" s="383"/>
      <c r="N64" s="383"/>
      <c r="O64" s="383"/>
      <c r="P64" s="383"/>
      <c r="Q64" s="383"/>
      <c r="R64" s="464"/>
      <c r="S64" s="464"/>
      <c r="T64" s="464"/>
      <c r="U64" s="464"/>
      <c r="V64" s="464"/>
      <c r="W64" s="464"/>
      <c r="X64" s="464"/>
      <c r="Y64" s="464"/>
      <c r="Z64" s="464"/>
      <c r="AA64" s="464"/>
      <c r="AB64" s="383"/>
      <c r="AC64" s="383"/>
    </row>
    <row r="65" spans="1:29" ht="21">
      <c r="A65" s="2"/>
      <c r="B65" s="298" t="s">
        <v>498</v>
      </c>
      <c r="C65" s="298"/>
      <c r="D65" s="400"/>
      <c r="E65" s="400"/>
      <c r="F65" s="400"/>
      <c r="G65" s="400"/>
      <c r="H65" s="400"/>
      <c r="I65" s="298"/>
      <c r="J65" s="298"/>
      <c r="K65" s="383"/>
      <c r="L65" s="383"/>
      <c r="M65" s="383"/>
      <c r="N65" s="383"/>
      <c r="O65" s="383"/>
      <c r="P65" s="383"/>
      <c r="Q65" s="383"/>
      <c r="R65" s="464"/>
      <c r="S65" s="464"/>
      <c r="T65" s="464"/>
      <c r="U65" s="464"/>
      <c r="V65" s="464"/>
      <c r="W65" s="464"/>
      <c r="X65" s="464"/>
      <c r="Y65" s="464"/>
      <c r="Z65" s="464"/>
      <c r="AA65" s="464"/>
      <c r="AB65" s="383"/>
      <c r="AC65" s="383"/>
    </row>
    <row r="66" spans="1:29" ht="21">
      <c r="A66" s="2"/>
      <c r="B66" s="400" t="s">
        <v>356</v>
      </c>
      <c r="C66" s="400"/>
      <c r="D66" s="400"/>
      <c r="E66" s="400"/>
      <c r="F66" s="400"/>
      <c r="G66" s="400"/>
      <c r="H66" s="400"/>
      <c r="I66" s="298"/>
      <c r="J66" s="298"/>
      <c r="K66" s="383"/>
      <c r="L66" s="383"/>
      <c r="M66" s="383"/>
      <c r="N66" s="383"/>
      <c r="O66" s="383"/>
      <c r="P66" s="383"/>
      <c r="Q66" s="383"/>
      <c r="R66" s="464"/>
      <c r="S66" s="464"/>
      <c r="T66" s="464"/>
      <c r="U66" s="464"/>
      <c r="V66" s="464"/>
      <c r="W66" s="464"/>
      <c r="X66" s="464"/>
      <c r="Y66" s="464"/>
      <c r="Z66" s="464"/>
      <c r="AA66" s="464"/>
      <c r="AB66" s="383"/>
      <c r="AC66" s="383"/>
    </row>
    <row r="67" spans="1:29" ht="21">
      <c r="A67" s="4"/>
      <c r="B67" s="400" t="s">
        <v>447</v>
      </c>
      <c r="C67" s="400"/>
      <c r="D67" s="400"/>
      <c r="E67" s="400"/>
      <c r="F67" s="400"/>
      <c r="G67" s="400"/>
      <c r="H67" s="400"/>
      <c r="I67" s="298"/>
      <c r="J67" s="298"/>
      <c r="K67" s="383"/>
      <c r="L67" s="383"/>
      <c r="M67" s="383"/>
      <c r="N67" s="383"/>
      <c r="O67" s="383"/>
      <c r="P67" s="383"/>
      <c r="Q67" s="383"/>
      <c r="R67" s="464"/>
      <c r="S67" s="464"/>
      <c r="T67" s="464"/>
      <c r="U67" s="464"/>
      <c r="V67" s="464"/>
      <c r="W67" s="464"/>
      <c r="X67" s="464"/>
      <c r="Y67" s="464"/>
      <c r="Z67" s="464"/>
      <c r="AA67" s="464"/>
      <c r="AB67" s="383"/>
      <c r="AC67" s="383"/>
    </row>
    <row r="68" spans="1:29" ht="21">
      <c r="A68" s="5"/>
      <c r="B68" s="400" t="s">
        <v>489</v>
      </c>
      <c r="C68" s="400"/>
      <c r="D68" s="400"/>
      <c r="E68" s="400"/>
      <c r="F68" s="400"/>
      <c r="G68" s="400"/>
      <c r="H68" s="400"/>
      <c r="I68" s="298"/>
      <c r="J68" s="298"/>
      <c r="K68" s="383"/>
      <c r="L68" s="383"/>
      <c r="M68" s="383"/>
      <c r="N68" s="383"/>
      <c r="O68" s="383"/>
      <c r="P68" s="383"/>
      <c r="Q68" s="383"/>
      <c r="R68" s="464"/>
      <c r="S68" s="464"/>
      <c r="T68" s="464"/>
      <c r="U68" s="464"/>
      <c r="V68" s="464"/>
      <c r="W68" s="464"/>
      <c r="X68" s="464"/>
      <c r="Y68" s="464"/>
      <c r="Z68" s="464"/>
      <c r="AA68" s="464"/>
      <c r="AB68" s="383"/>
      <c r="AC68" s="383"/>
    </row>
    <row r="69" spans="1:29" ht="21">
      <c r="B69" s="400" t="s">
        <v>468</v>
      </c>
      <c r="C69" s="400"/>
      <c r="D69" s="400"/>
      <c r="E69" s="400"/>
      <c r="F69" s="400"/>
      <c r="G69" s="400"/>
      <c r="H69" s="400"/>
      <c r="I69" s="298"/>
      <c r="J69" s="298"/>
      <c r="K69" s="383"/>
      <c r="L69" s="383"/>
      <c r="M69" s="383"/>
      <c r="N69" s="383"/>
      <c r="O69" s="383"/>
      <c r="P69" s="383"/>
      <c r="Q69" s="383"/>
      <c r="R69" s="464"/>
      <c r="S69" s="464"/>
      <c r="T69" s="464"/>
      <c r="U69" s="464"/>
      <c r="V69" s="464"/>
      <c r="W69" s="464"/>
      <c r="X69" s="464"/>
      <c r="Y69" s="464"/>
      <c r="Z69" s="464"/>
      <c r="AA69" s="464"/>
      <c r="AB69" s="383"/>
      <c r="AC69" s="383"/>
    </row>
    <row r="70" spans="1:29" ht="21">
      <c r="B70" s="298" t="s">
        <v>357</v>
      </c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464"/>
      <c r="S70" s="464"/>
      <c r="T70" s="464"/>
      <c r="U70" s="464"/>
      <c r="V70" s="464"/>
      <c r="W70" s="464"/>
      <c r="X70" s="464"/>
      <c r="Y70" s="464"/>
      <c r="Z70" s="464"/>
      <c r="AA70" s="464"/>
      <c r="AB70" s="383"/>
      <c r="AC70" s="383"/>
    </row>
    <row r="71" spans="1:29" ht="21">
      <c r="B71" s="298" t="s">
        <v>358</v>
      </c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464"/>
      <c r="S71" s="464"/>
      <c r="T71" s="464"/>
      <c r="U71" s="464"/>
      <c r="V71" s="464"/>
      <c r="W71" s="464"/>
      <c r="X71" s="464"/>
      <c r="Y71" s="464"/>
      <c r="Z71" s="464"/>
      <c r="AA71" s="464"/>
      <c r="AB71" s="383"/>
      <c r="AC71" s="383"/>
    </row>
    <row r="72" spans="1:29" ht="21">
      <c r="B72" s="400" t="s">
        <v>580</v>
      </c>
      <c r="C72" s="383"/>
      <c r="D72" s="383"/>
      <c r="E72" s="383"/>
      <c r="F72" s="383"/>
      <c r="G72" s="346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464"/>
      <c r="S72" s="464"/>
      <c r="T72" s="464"/>
      <c r="U72" s="464"/>
      <c r="V72" s="464"/>
      <c r="W72" s="464"/>
      <c r="X72" s="464"/>
      <c r="Y72" s="464"/>
      <c r="Z72" s="464"/>
      <c r="AA72" s="464"/>
      <c r="AB72" s="383"/>
      <c r="AC72" s="383"/>
    </row>
    <row r="73" spans="1:29" ht="21">
      <c r="B73" s="298" t="s">
        <v>359</v>
      </c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464"/>
      <c r="S73" s="464"/>
      <c r="T73" s="464"/>
      <c r="U73" s="464"/>
      <c r="V73" s="464"/>
      <c r="W73" s="464"/>
      <c r="X73" s="464"/>
      <c r="Y73" s="464"/>
      <c r="Z73" s="464"/>
      <c r="AA73" s="464"/>
      <c r="AB73" s="383"/>
      <c r="AC73" s="383"/>
    </row>
    <row r="74" spans="1:29" ht="21">
      <c r="B74" s="400" t="s">
        <v>360</v>
      </c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464"/>
      <c r="S74" s="464"/>
      <c r="T74" s="464"/>
      <c r="U74" s="464"/>
      <c r="V74" s="464"/>
      <c r="W74" s="464"/>
      <c r="X74" s="464"/>
      <c r="Y74" s="464"/>
      <c r="Z74" s="464"/>
      <c r="AA74" s="464"/>
      <c r="AB74" s="383"/>
      <c r="AC74" s="383"/>
    </row>
    <row r="75" spans="1:29" ht="21">
      <c r="B75" s="298" t="s">
        <v>424</v>
      </c>
      <c r="C75" s="383"/>
      <c r="D75" s="383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464"/>
      <c r="S75" s="464"/>
      <c r="T75" s="464"/>
      <c r="U75" s="464"/>
      <c r="V75" s="464"/>
      <c r="W75" s="464"/>
      <c r="X75" s="464"/>
      <c r="Y75" s="464"/>
      <c r="Z75" s="464"/>
      <c r="AA75" s="464"/>
      <c r="AB75" s="383"/>
      <c r="AC75" s="383"/>
    </row>
    <row r="76" spans="1:29" ht="21">
      <c r="B76" s="400" t="s">
        <v>581</v>
      </c>
      <c r="C76" s="383"/>
      <c r="D76" s="383"/>
      <c r="E76" s="383"/>
      <c r="F76" s="383"/>
      <c r="G76" s="346"/>
      <c r="H76" s="383"/>
      <c r="I76" s="383"/>
      <c r="J76" s="383"/>
      <c r="K76" s="383"/>
      <c r="L76" s="383"/>
      <c r="M76" s="383"/>
      <c r="N76" s="383"/>
      <c r="O76" s="383"/>
      <c r="P76" s="383"/>
      <c r="Q76" s="383"/>
      <c r="R76" s="464"/>
      <c r="S76" s="464"/>
      <c r="T76" s="464"/>
      <c r="U76" s="464"/>
      <c r="V76" s="464"/>
      <c r="W76" s="464"/>
      <c r="X76" s="464"/>
      <c r="Y76" s="464"/>
      <c r="Z76" s="464"/>
      <c r="AA76" s="464"/>
      <c r="AB76" s="383"/>
      <c r="AC76" s="383"/>
    </row>
    <row r="77" spans="1:29" ht="21">
      <c r="B77" s="464"/>
      <c r="C77" s="464"/>
      <c r="D77" s="464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64"/>
      <c r="P77" s="464"/>
      <c r="Q77" s="464"/>
      <c r="R77" s="464"/>
      <c r="S77" s="464"/>
      <c r="T77" s="464"/>
      <c r="U77" s="464"/>
      <c r="V77" s="464"/>
      <c r="W77" s="464"/>
      <c r="X77" s="464"/>
      <c r="Y77" s="464"/>
      <c r="Z77" s="383"/>
      <c r="AA77" s="383"/>
      <c r="AB77" s="383"/>
      <c r="AC77" s="383"/>
    </row>
    <row r="78" spans="1:29" ht="21">
      <c r="B78" s="464"/>
      <c r="C78" s="340" t="s">
        <v>495</v>
      </c>
      <c r="D78" s="340"/>
      <c r="E78" s="340"/>
      <c r="F78" s="340"/>
      <c r="G78" s="464"/>
      <c r="H78" s="464"/>
      <c r="I78" s="464"/>
      <c r="J78" s="464"/>
      <c r="K78" s="464"/>
      <c r="L78" s="464"/>
      <c r="M78" s="464"/>
      <c r="N78" s="464"/>
      <c r="O78" s="464"/>
      <c r="P78" s="464"/>
      <c r="Q78" s="464"/>
      <c r="R78" s="464"/>
      <c r="S78" s="464"/>
      <c r="T78" s="464"/>
      <c r="U78" s="464"/>
      <c r="V78" s="464"/>
      <c r="W78" s="464"/>
      <c r="X78" s="464"/>
      <c r="Y78" s="464"/>
      <c r="Z78" s="383"/>
      <c r="AA78" s="383"/>
      <c r="AB78" s="383"/>
      <c r="AC78" s="383"/>
    </row>
  </sheetData>
  <mergeCells count="50">
    <mergeCell ref="AE6:AE9"/>
    <mergeCell ref="G7:O7"/>
    <mergeCell ref="P7:X7"/>
    <mergeCell ref="G6:X6"/>
    <mergeCell ref="A5:F5"/>
    <mergeCell ref="G5:AE5"/>
    <mergeCell ref="A6:A9"/>
    <mergeCell ref="B6:B9"/>
    <mergeCell ref="C6:C9"/>
    <mergeCell ref="D6:F7"/>
    <mergeCell ref="D8:D9"/>
    <mergeCell ref="E8:E9"/>
    <mergeCell ref="F8:F9"/>
    <mergeCell ref="Y6:Y9"/>
    <mergeCell ref="AD6:AD9"/>
    <mergeCell ref="G54:R54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2:AE42"/>
    <mergeCell ref="A24:F24"/>
    <mergeCell ref="A21:F21"/>
    <mergeCell ref="A1:AD1"/>
    <mergeCell ref="A2:B2"/>
    <mergeCell ref="H2:P2"/>
    <mergeCell ref="A3:B3"/>
    <mergeCell ref="AC6:AC9"/>
    <mergeCell ref="A14:F14"/>
    <mergeCell ref="A4:R4"/>
    <mergeCell ref="A40:F40"/>
    <mergeCell ref="A39:F39"/>
    <mergeCell ref="A27:F27"/>
    <mergeCell ref="B32:C32"/>
    <mergeCell ref="B37:C37"/>
    <mergeCell ref="B38:C38"/>
    <mergeCell ref="B33:C33"/>
    <mergeCell ref="A30:F30"/>
    <mergeCell ref="B35:C35"/>
    <mergeCell ref="B34:C34"/>
    <mergeCell ref="B36:C3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1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86"/>
  <sheetViews>
    <sheetView zoomScale="80" zoomScaleNormal="80" zoomScaleSheetLayoutView="80" workbookViewId="0">
      <pane xSplit="30" ySplit="9" topLeftCell="AE45" activePane="bottomRight" state="frozen"/>
      <selection pane="topRight" activeCell="AE1" sqref="AE1"/>
      <selection pane="bottomLeft" activeCell="A10" sqref="A10"/>
      <selection pane="bottomRight" activeCell="C55" sqref="C55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9.7109375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2" s="12" customFormat="1" ht="35.25" customHeight="1">
      <c r="A1" s="653" t="s">
        <v>376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3"/>
      <c r="Z1" s="653"/>
      <c r="AA1" s="653"/>
      <c r="AB1" s="653"/>
      <c r="AC1" s="653"/>
      <c r="AD1" s="653"/>
      <c r="AE1" s="653"/>
      <c r="AF1" s="43"/>
    </row>
    <row r="2" spans="1:32" s="12" customFormat="1" ht="28.5" customHeight="1">
      <c r="A2" s="635" t="s">
        <v>503</v>
      </c>
      <c r="B2" s="635"/>
      <c r="C2" s="347" t="s">
        <v>341</v>
      </c>
      <c r="D2" s="333"/>
      <c r="E2" s="348"/>
      <c r="F2" s="348"/>
      <c r="G2" s="348"/>
      <c r="H2" s="636" t="s">
        <v>145</v>
      </c>
      <c r="I2" s="636"/>
      <c r="J2" s="636"/>
      <c r="K2" s="636"/>
      <c r="L2" s="636"/>
      <c r="M2" s="636"/>
      <c r="N2" s="636"/>
      <c r="O2" s="636"/>
      <c r="P2" s="636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47"/>
    </row>
    <row r="3" spans="1:32" s="12" customFormat="1" ht="35.25" customHeight="1">
      <c r="A3" s="637" t="s">
        <v>342</v>
      </c>
      <c r="B3" s="637"/>
      <c r="C3" s="350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47"/>
    </row>
    <row r="4" spans="1:32" s="12" customFormat="1" ht="28.5" customHeight="1">
      <c r="A4" s="673" t="s">
        <v>333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42"/>
    </row>
    <row r="5" spans="1:32" ht="15" customHeight="1">
      <c r="A5" s="685"/>
      <c r="B5" s="686"/>
      <c r="C5" s="686"/>
      <c r="D5" s="686"/>
      <c r="E5" s="686"/>
      <c r="F5" s="687"/>
      <c r="G5" s="688" t="s">
        <v>103</v>
      </c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89"/>
      <c r="Z5" s="689"/>
      <c r="AA5" s="689"/>
      <c r="AB5" s="689"/>
      <c r="AC5" s="689"/>
      <c r="AD5" s="689"/>
      <c r="AE5" s="690"/>
      <c r="AF5" s="39"/>
    </row>
    <row r="6" spans="1:32" ht="15" customHeight="1">
      <c r="A6" s="589" t="s">
        <v>0</v>
      </c>
      <c r="B6" s="587" t="s">
        <v>4</v>
      </c>
      <c r="C6" s="587" t="s">
        <v>1</v>
      </c>
      <c r="D6" s="663" t="s">
        <v>8</v>
      </c>
      <c r="E6" s="663"/>
      <c r="F6" s="663"/>
      <c r="G6" s="691" t="s">
        <v>106</v>
      </c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  <c r="T6" s="692"/>
      <c r="U6" s="692"/>
      <c r="V6" s="692"/>
      <c r="W6" s="692"/>
      <c r="X6" s="693"/>
      <c r="Y6" s="593" t="s">
        <v>5</v>
      </c>
      <c r="Z6" s="593" t="s">
        <v>89</v>
      </c>
      <c r="AA6" s="593" t="s">
        <v>88</v>
      </c>
      <c r="AB6" s="593" t="s">
        <v>94</v>
      </c>
      <c r="AC6" s="593" t="s">
        <v>90</v>
      </c>
      <c r="AD6" s="593" t="s">
        <v>14</v>
      </c>
      <c r="AE6" s="593" t="s">
        <v>6</v>
      </c>
    </row>
    <row r="7" spans="1:32" ht="15" customHeight="1">
      <c r="A7" s="589"/>
      <c r="B7" s="587"/>
      <c r="C7" s="587"/>
      <c r="D7" s="663"/>
      <c r="E7" s="663"/>
      <c r="F7" s="663"/>
      <c r="G7" s="601" t="s">
        <v>99</v>
      </c>
      <c r="H7" s="602"/>
      <c r="I7" s="602"/>
      <c r="J7" s="602"/>
      <c r="K7" s="602"/>
      <c r="L7" s="602"/>
      <c r="M7" s="602"/>
      <c r="N7" s="602"/>
      <c r="O7" s="603"/>
      <c r="P7" s="596" t="s">
        <v>100</v>
      </c>
      <c r="Q7" s="616"/>
      <c r="R7" s="616"/>
      <c r="S7" s="616"/>
      <c r="T7" s="616"/>
      <c r="U7" s="616"/>
      <c r="V7" s="616"/>
      <c r="W7" s="616"/>
      <c r="X7" s="597"/>
      <c r="Y7" s="594"/>
      <c r="Z7" s="594"/>
      <c r="AA7" s="594"/>
      <c r="AB7" s="594"/>
      <c r="AC7" s="594"/>
      <c r="AD7" s="594"/>
      <c r="AE7" s="594"/>
    </row>
    <row r="8" spans="1:32" ht="19.5" customHeight="1">
      <c r="A8" s="590"/>
      <c r="B8" s="585"/>
      <c r="C8" s="585"/>
      <c r="D8" s="585" t="s">
        <v>2</v>
      </c>
      <c r="E8" s="585" t="s">
        <v>13</v>
      </c>
      <c r="F8" s="585" t="s">
        <v>12</v>
      </c>
      <c r="G8" s="601" t="s">
        <v>334</v>
      </c>
      <c r="H8" s="603"/>
      <c r="I8" s="601" t="s">
        <v>335</v>
      </c>
      <c r="J8" s="603"/>
      <c r="K8" s="601" t="s">
        <v>336</v>
      </c>
      <c r="L8" s="603"/>
      <c r="M8" s="601" t="s">
        <v>337</v>
      </c>
      <c r="N8" s="603"/>
      <c r="O8" s="620" t="s">
        <v>7</v>
      </c>
      <c r="P8" s="596" t="s">
        <v>334</v>
      </c>
      <c r="Q8" s="597"/>
      <c r="R8" s="596" t="s">
        <v>335</v>
      </c>
      <c r="S8" s="597"/>
      <c r="T8" s="596" t="s">
        <v>336</v>
      </c>
      <c r="U8" s="597"/>
      <c r="V8" s="596" t="s">
        <v>337</v>
      </c>
      <c r="W8" s="597"/>
      <c r="X8" s="598" t="s">
        <v>7</v>
      </c>
      <c r="Y8" s="594"/>
      <c r="Z8" s="594"/>
      <c r="AA8" s="594"/>
      <c r="AB8" s="594"/>
      <c r="AC8" s="594"/>
      <c r="AD8" s="594"/>
      <c r="AE8" s="594"/>
    </row>
    <row r="9" spans="1:32" ht="50.25" customHeight="1">
      <c r="A9" s="590"/>
      <c r="B9" s="585"/>
      <c r="C9" s="585"/>
      <c r="D9" s="682"/>
      <c r="E9" s="682"/>
      <c r="F9" s="682"/>
      <c r="G9" s="405" t="s">
        <v>15</v>
      </c>
      <c r="H9" s="405" t="s">
        <v>16</v>
      </c>
      <c r="I9" s="405" t="s">
        <v>15</v>
      </c>
      <c r="J9" s="405" t="s">
        <v>16</v>
      </c>
      <c r="K9" s="405" t="s">
        <v>15</v>
      </c>
      <c r="L9" s="405" t="s">
        <v>16</v>
      </c>
      <c r="M9" s="405" t="s">
        <v>15</v>
      </c>
      <c r="N9" s="405" t="s">
        <v>16</v>
      </c>
      <c r="O9" s="694"/>
      <c r="P9" s="406" t="s">
        <v>15</v>
      </c>
      <c r="Q9" s="406" t="s">
        <v>16</v>
      </c>
      <c r="R9" s="406" t="s">
        <v>15</v>
      </c>
      <c r="S9" s="406" t="s">
        <v>16</v>
      </c>
      <c r="T9" s="406" t="s">
        <v>15</v>
      </c>
      <c r="U9" s="406" t="s">
        <v>16</v>
      </c>
      <c r="V9" s="406" t="s">
        <v>15</v>
      </c>
      <c r="W9" s="406" t="s">
        <v>16</v>
      </c>
      <c r="X9" s="683"/>
      <c r="Y9" s="594"/>
      <c r="Z9" s="594"/>
      <c r="AA9" s="594"/>
      <c r="AB9" s="594"/>
      <c r="AC9" s="594"/>
      <c r="AD9" s="594"/>
      <c r="AE9" s="594"/>
    </row>
    <row r="10" spans="1:32" ht="26.25" customHeight="1">
      <c r="A10" s="316" t="s">
        <v>393</v>
      </c>
      <c r="B10" s="317"/>
      <c r="C10" s="318"/>
      <c r="D10" s="317"/>
      <c r="E10" s="317"/>
      <c r="F10" s="317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63"/>
    </row>
    <row r="11" spans="1:32" ht="29.25" customHeight="1">
      <c r="A11" s="53">
        <v>5.0999999999999996</v>
      </c>
      <c r="B11" s="40" t="s">
        <v>51</v>
      </c>
      <c r="C11" s="311" t="str">
        <f>"0912-7LEK-C"&amp;A11&amp;"-"&amp;UPPER(LEFT(B11,1))</f>
        <v>0912-7LEK-C5,1-P</v>
      </c>
      <c r="D11" s="312">
        <v>11</v>
      </c>
      <c r="E11" s="322" t="s">
        <v>427</v>
      </c>
      <c r="F11" s="313"/>
      <c r="G11" s="54">
        <v>15</v>
      </c>
      <c r="H11" s="54">
        <v>10</v>
      </c>
      <c r="I11" s="54">
        <v>15</v>
      </c>
      <c r="J11" s="54">
        <v>35</v>
      </c>
      <c r="K11" s="54">
        <v>25</v>
      </c>
      <c r="L11" s="54"/>
      <c r="M11" s="54"/>
      <c r="N11" s="54"/>
      <c r="O11" s="54">
        <v>4</v>
      </c>
      <c r="P11" s="55">
        <v>15</v>
      </c>
      <c r="Q11" s="55">
        <v>25</v>
      </c>
      <c r="R11" s="55">
        <v>25</v>
      </c>
      <c r="S11" s="55">
        <v>25</v>
      </c>
      <c r="T11" s="55">
        <v>35</v>
      </c>
      <c r="U11" s="55"/>
      <c r="V11" s="55"/>
      <c r="W11" s="55"/>
      <c r="X11" s="55">
        <v>5</v>
      </c>
      <c r="Y11" s="44">
        <f>SUM(Z11:AC11)</f>
        <v>130</v>
      </c>
      <c r="Z11" s="44">
        <f t="shared" ref="Z11:Z18" si="0">SUM(G11,P11)</f>
        <v>30</v>
      </c>
      <c r="AA11" s="44">
        <f t="shared" ref="AA11:AA18" si="1">SUM(I11,R11)</f>
        <v>40</v>
      </c>
      <c r="AB11" s="44">
        <f t="shared" ref="AB11:AB18" si="2">SUM(K11,T11)</f>
        <v>60</v>
      </c>
      <c r="AC11" s="44">
        <f t="shared" ref="AC11:AC18" si="3">SUM(M11,V11)</f>
        <v>0</v>
      </c>
      <c r="AD11" s="44">
        <f>SUM(G11:N11,P11:W11)</f>
        <v>225</v>
      </c>
      <c r="AE11" s="44">
        <f t="shared" ref="AE11:AE18" si="4">SUM(O11,X11)</f>
        <v>9</v>
      </c>
    </row>
    <row r="12" spans="1:32" ht="27.75" customHeight="1">
      <c r="A12" s="53">
        <v>5.2</v>
      </c>
      <c r="B12" s="40" t="s">
        <v>80</v>
      </c>
      <c r="C12" s="311" t="str">
        <f t="shared" ref="C12:C17" si="5">"0912-7LEK-C"&amp;A12&amp;"-"&amp;UPPER(LEFT(B12,1))</f>
        <v>0912-7LEK-C5,2-C</v>
      </c>
      <c r="D12" s="312">
        <v>11</v>
      </c>
      <c r="E12" s="322" t="s">
        <v>502</v>
      </c>
      <c r="F12" s="313"/>
      <c r="G12" s="54">
        <v>15</v>
      </c>
      <c r="H12" s="54">
        <v>10</v>
      </c>
      <c r="I12" s="54">
        <v>15</v>
      </c>
      <c r="J12" s="54">
        <v>10</v>
      </c>
      <c r="K12" s="54">
        <v>25</v>
      </c>
      <c r="L12" s="54"/>
      <c r="M12" s="54"/>
      <c r="N12" s="54"/>
      <c r="O12" s="54">
        <v>3</v>
      </c>
      <c r="P12" s="55">
        <v>15</v>
      </c>
      <c r="Q12" s="55">
        <v>20</v>
      </c>
      <c r="R12" s="55">
        <v>15</v>
      </c>
      <c r="S12" s="55">
        <v>10</v>
      </c>
      <c r="T12" s="55">
        <v>15</v>
      </c>
      <c r="U12" s="55"/>
      <c r="V12" s="55"/>
      <c r="W12" s="55"/>
      <c r="X12" s="55">
        <v>3</v>
      </c>
      <c r="Y12" s="44">
        <f t="shared" ref="Y12:Y18" si="6">SUM(Z12:AC12)</f>
        <v>100</v>
      </c>
      <c r="Z12" s="44">
        <f t="shared" si="0"/>
        <v>30</v>
      </c>
      <c r="AA12" s="44">
        <f t="shared" si="1"/>
        <v>30</v>
      </c>
      <c r="AB12" s="44">
        <f t="shared" si="2"/>
        <v>40</v>
      </c>
      <c r="AC12" s="44">
        <f t="shared" si="3"/>
        <v>0</v>
      </c>
      <c r="AD12" s="44">
        <f t="shared" ref="AD12:AD18" si="7">SUM(G12:N12,P12:W12)</f>
        <v>150</v>
      </c>
      <c r="AE12" s="44">
        <f t="shared" si="4"/>
        <v>6</v>
      </c>
    </row>
    <row r="13" spans="1:32" ht="24" customHeight="1">
      <c r="A13" s="53">
        <v>5.4</v>
      </c>
      <c r="B13" s="40" t="s">
        <v>53</v>
      </c>
      <c r="C13" s="311" t="str">
        <f t="shared" si="5"/>
        <v>0912-7LEK-C5,4-N</v>
      </c>
      <c r="D13" s="312">
        <v>7</v>
      </c>
      <c r="E13" s="313">
        <v>7</v>
      </c>
      <c r="F13" s="313"/>
      <c r="G13" s="54">
        <v>15</v>
      </c>
      <c r="H13" s="54">
        <v>10</v>
      </c>
      <c r="I13" s="54">
        <v>15</v>
      </c>
      <c r="J13" s="54">
        <v>30</v>
      </c>
      <c r="K13" s="54">
        <v>30</v>
      </c>
      <c r="L13" s="54"/>
      <c r="M13" s="54"/>
      <c r="N13" s="54"/>
      <c r="O13" s="54">
        <v>4</v>
      </c>
      <c r="P13" s="55"/>
      <c r="Q13" s="55"/>
      <c r="R13" s="55"/>
      <c r="S13" s="55"/>
      <c r="T13" s="55"/>
      <c r="U13" s="55"/>
      <c r="V13" s="55"/>
      <c r="W13" s="55"/>
      <c r="X13" s="55"/>
      <c r="Y13" s="44">
        <f t="shared" si="6"/>
        <v>60</v>
      </c>
      <c r="Z13" s="44">
        <f t="shared" si="0"/>
        <v>15</v>
      </c>
      <c r="AA13" s="44">
        <f t="shared" si="1"/>
        <v>15</v>
      </c>
      <c r="AB13" s="44">
        <f t="shared" si="2"/>
        <v>30</v>
      </c>
      <c r="AC13" s="44">
        <f t="shared" si="3"/>
        <v>0</v>
      </c>
      <c r="AD13" s="44">
        <f t="shared" si="7"/>
        <v>100</v>
      </c>
      <c r="AE13" s="44">
        <f t="shared" si="4"/>
        <v>4</v>
      </c>
    </row>
    <row r="14" spans="1:32" ht="24" customHeight="1">
      <c r="A14" s="53">
        <v>5.5</v>
      </c>
      <c r="B14" s="40" t="s">
        <v>54</v>
      </c>
      <c r="C14" s="311" t="str">
        <f t="shared" si="5"/>
        <v>0912-7LEK-C5,5-P</v>
      </c>
      <c r="D14" s="312">
        <v>12</v>
      </c>
      <c r="E14" s="313">
        <v>8</v>
      </c>
      <c r="F14" s="313"/>
      <c r="G14" s="54"/>
      <c r="H14" s="54"/>
      <c r="I14" s="54"/>
      <c r="J14" s="54"/>
      <c r="K14" s="54"/>
      <c r="L14" s="54"/>
      <c r="M14" s="54"/>
      <c r="N14" s="54"/>
      <c r="O14" s="54"/>
      <c r="P14" s="55">
        <v>20</v>
      </c>
      <c r="Q14" s="55">
        <v>5</v>
      </c>
      <c r="R14" s="55">
        <v>20</v>
      </c>
      <c r="S14" s="55">
        <v>30</v>
      </c>
      <c r="T14" s="55">
        <v>25</v>
      </c>
      <c r="U14" s="55"/>
      <c r="V14" s="55"/>
      <c r="W14" s="55"/>
      <c r="X14" s="55">
        <v>4</v>
      </c>
      <c r="Y14" s="44">
        <f t="shared" si="6"/>
        <v>65</v>
      </c>
      <c r="Z14" s="44">
        <f t="shared" si="0"/>
        <v>20</v>
      </c>
      <c r="AA14" s="44">
        <f t="shared" si="1"/>
        <v>20</v>
      </c>
      <c r="AB14" s="44">
        <f t="shared" si="2"/>
        <v>25</v>
      </c>
      <c r="AC14" s="44">
        <f t="shared" si="3"/>
        <v>0</v>
      </c>
      <c r="AD14" s="44">
        <f t="shared" si="7"/>
        <v>100</v>
      </c>
      <c r="AE14" s="44">
        <f t="shared" si="4"/>
        <v>4</v>
      </c>
    </row>
    <row r="15" spans="1:32" ht="24" customHeight="1">
      <c r="A15" s="53">
        <v>5.6</v>
      </c>
      <c r="B15" s="40" t="s">
        <v>55</v>
      </c>
      <c r="C15" s="311" t="str">
        <f t="shared" si="5"/>
        <v>0912-7LEK-C5,6-O</v>
      </c>
      <c r="D15" s="312">
        <v>7</v>
      </c>
      <c r="E15" s="313">
        <v>7</v>
      </c>
      <c r="F15" s="313"/>
      <c r="G15" s="54">
        <v>15</v>
      </c>
      <c r="H15" s="54">
        <v>10</v>
      </c>
      <c r="I15" s="54">
        <v>15</v>
      </c>
      <c r="J15" s="54">
        <v>35</v>
      </c>
      <c r="K15" s="54">
        <v>25</v>
      </c>
      <c r="L15" s="54"/>
      <c r="M15" s="54"/>
      <c r="N15" s="54"/>
      <c r="O15" s="54">
        <v>4</v>
      </c>
      <c r="P15" s="55"/>
      <c r="Q15" s="55"/>
      <c r="R15" s="55"/>
      <c r="S15" s="55"/>
      <c r="T15" s="55"/>
      <c r="U15" s="55"/>
      <c r="V15" s="55"/>
      <c r="W15" s="55"/>
      <c r="X15" s="55"/>
      <c r="Y15" s="44">
        <f t="shared" si="6"/>
        <v>55</v>
      </c>
      <c r="Z15" s="44">
        <f t="shared" si="0"/>
        <v>15</v>
      </c>
      <c r="AA15" s="44">
        <f t="shared" si="1"/>
        <v>15</v>
      </c>
      <c r="AB15" s="44">
        <f t="shared" si="2"/>
        <v>25</v>
      </c>
      <c r="AC15" s="44">
        <f t="shared" si="3"/>
        <v>0</v>
      </c>
      <c r="AD15" s="44">
        <f t="shared" si="7"/>
        <v>100</v>
      </c>
      <c r="AE15" s="44">
        <f t="shared" si="4"/>
        <v>4</v>
      </c>
    </row>
    <row r="16" spans="1:32" ht="24" customHeight="1">
      <c r="A16" s="53">
        <v>5.9</v>
      </c>
      <c r="B16" s="40" t="s">
        <v>58</v>
      </c>
      <c r="C16" s="311" t="str">
        <f>RAZEM!C43</f>
        <v>0912-7LEK-C5,9-CZ</v>
      </c>
      <c r="D16" s="312">
        <v>7</v>
      </c>
      <c r="E16" s="313">
        <v>7</v>
      </c>
      <c r="F16" s="313"/>
      <c r="G16" s="54">
        <v>20</v>
      </c>
      <c r="H16" s="54">
        <v>15</v>
      </c>
      <c r="I16" s="54">
        <v>15</v>
      </c>
      <c r="J16" s="54">
        <v>10</v>
      </c>
      <c r="K16" s="54">
        <v>15</v>
      </c>
      <c r="L16" s="54"/>
      <c r="M16" s="54"/>
      <c r="N16" s="54"/>
      <c r="O16" s="54">
        <v>3</v>
      </c>
      <c r="P16" s="55"/>
      <c r="Q16" s="55"/>
      <c r="R16" s="55"/>
      <c r="S16" s="55"/>
      <c r="T16" s="55"/>
      <c r="U16" s="55"/>
      <c r="V16" s="55"/>
      <c r="W16" s="55"/>
      <c r="X16" s="55"/>
      <c r="Y16" s="44">
        <f t="shared" si="6"/>
        <v>50</v>
      </c>
      <c r="Z16" s="44">
        <f t="shared" si="0"/>
        <v>20</v>
      </c>
      <c r="AA16" s="44">
        <f t="shared" si="1"/>
        <v>15</v>
      </c>
      <c r="AB16" s="44">
        <f t="shared" si="2"/>
        <v>15</v>
      </c>
      <c r="AC16" s="44">
        <f t="shared" si="3"/>
        <v>0</v>
      </c>
      <c r="AD16" s="44">
        <f t="shared" si="7"/>
        <v>75</v>
      </c>
      <c r="AE16" s="44">
        <f t="shared" si="4"/>
        <v>3</v>
      </c>
    </row>
    <row r="17" spans="1:31" ht="24" customHeight="1">
      <c r="A17" s="57" t="s">
        <v>250</v>
      </c>
      <c r="B17" s="40" t="s">
        <v>59</v>
      </c>
      <c r="C17" s="311" t="str">
        <f t="shared" si="5"/>
        <v>0912-7LEK-C5.10-R</v>
      </c>
      <c r="D17" s="312">
        <v>7</v>
      </c>
      <c r="E17" s="313">
        <v>7</v>
      </c>
      <c r="F17" s="313"/>
      <c r="G17" s="54">
        <v>15</v>
      </c>
      <c r="H17" s="54">
        <v>10</v>
      </c>
      <c r="I17" s="54">
        <v>15</v>
      </c>
      <c r="J17" s="54">
        <v>15</v>
      </c>
      <c r="K17" s="54">
        <v>20</v>
      </c>
      <c r="L17" s="54"/>
      <c r="M17" s="54"/>
      <c r="N17" s="54"/>
      <c r="O17" s="54">
        <v>3</v>
      </c>
      <c r="P17" s="55"/>
      <c r="Q17" s="55"/>
      <c r="R17" s="55"/>
      <c r="S17" s="55"/>
      <c r="T17" s="55"/>
      <c r="U17" s="55"/>
      <c r="V17" s="55"/>
      <c r="W17" s="55"/>
      <c r="X17" s="55"/>
      <c r="Y17" s="44">
        <f t="shared" si="6"/>
        <v>50</v>
      </c>
      <c r="Z17" s="44">
        <f t="shared" si="0"/>
        <v>15</v>
      </c>
      <c r="AA17" s="44">
        <f t="shared" si="1"/>
        <v>15</v>
      </c>
      <c r="AB17" s="44">
        <f t="shared" si="2"/>
        <v>20</v>
      </c>
      <c r="AC17" s="44">
        <f t="shared" si="3"/>
        <v>0</v>
      </c>
      <c r="AD17" s="44">
        <f t="shared" si="7"/>
        <v>75</v>
      </c>
      <c r="AE17" s="44">
        <f t="shared" si="4"/>
        <v>3</v>
      </c>
    </row>
    <row r="18" spans="1:31" ht="24" customHeight="1">
      <c r="A18" s="386">
        <v>5.12</v>
      </c>
      <c r="B18" s="40" t="s">
        <v>61</v>
      </c>
      <c r="C18" s="311" t="str">
        <f>RAZEM!C46</f>
        <v>0912-7LEK-C5,12-FK</v>
      </c>
      <c r="D18" s="312">
        <v>8</v>
      </c>
      <c r="E18" s="313">
        <v>8</v>
      </c>
      <c r="F18" s="313"/>
      <c r="G18" s="54"/>
      <c r="H18" s="54"/>
      <c r="I18" s="54"/>
      <c r="J18" s="54"/>
      <c r="K18" s="54"/>
      <c r="L18" s="54"/>
      <c r="M18" s="54"/>
      <c r="N18" s="54"/>
      <c r="O18" s="54"/>
      <c r="P18" s="55">
        <v>30</v>
      </c>
      <c r="Q18" s="55">
        <v>20</v>
      </c>
      <c r="R18" s="55">
        <v>35</v>
      </c>
      <c r="S18" s="55">
        <v>15</v>
      </c>
      <c r="T18" s="55"/>
      <c r="U18" s="55"/>
      <c r="V18" s="55"/>
      <c r="W18" s="55"/>
      <c r="X18" s="55">
        <v>4</v>
      </c>
      <c r="Y18" s="44">
        <f t="shared" si="6"/>
        <v>65</v>
      </c>
      <c r="Z18" s="44">
        <f t="shared" si="0"/>
        <v>30</v>
      </c>
      <c r="AA18" s="44">
        <f t="shared" si="1"/>
        <v>35</v>
      </c>
      <c r="AB18" s="44">
        <f t="shared" si="2"/>
        <v>0</v>
      </c>
      <c r="AC18" s="44">
        <f t="shared" si="3"/>
        <v>0</v>
      </c>
      <c r="AD18" s="44">
        <f t="shared" si="7"/>
        <v>100</v>
      </c>
      <c r="AE18" s="44">
        <f t="shared" si="4"/>
        <v>4</v>
      </c>
    </row>
    <row r="19" spans="1:31" ht="15.75">
      <c r="A19" s="580" t="s">
        <v>9</v>
      </c>
      <c r="B19" s="581"/>
      <c r="C19" s="582"/>
      <c r="D19" s="315"/>
      <c r="E19" s="315"/>
      <c r="F19" s="315"/>
      <c r="G19" s="61">
        <f t="shared" ref="G19:AE19" si="8">SUM(G11:G18)</f>
        <v>95</v>
      </c>
      <c r="H19" s="61">
        <f t="shared" si="8"/>
        <v>65</v>
      </c>
      <c r="I19" s="61">
        <f t="shared" si="8"/>
        <v>90</v>
      </c>
      <c r="J19" s="61">
        <f t="shared" si="8"/>
        <v>135</v>
      </c>
      <c r="K19" s="61">
        <f t="shared" si="8"/>
        <v>140</v>
      </c>
      <c r="L19" s="61">
        <f t="shared" si="8"/>
        <v>0</v>
      </c>
      <c r="M19" s="61">
        <f t="shared" si="8"/>
        <v>0</v>
      </c>
      <c r="N19" s="61">
        <f t="shared" si="8"/>
        <v>0</v>
      </c>
      <c r="O19" s="61">
        <f t="shared" si="8"/>
        <v>21</v>
      </c>
      <c r="P19" s="61">
        <f t="shared" si="8"/>
        <v>80</v>
      </c>
      <c r="Q19" s="61">
        <f t="shared" si="8"/>
        <v>70</v>
      </c>
      <c r="R19" s="61">
        <f t="shared" si="8"/>
        <v>95</v>
      </c>
      <c r="S19" s="61">
        <f t="shared" si="8"/>
        <v>80</v>
      </c>
      <c r="T19" s="61">
        <f t="shared" si="8"/>
        <v>75</v>
      </c>
      <c r="U19" s="61">
        <f t="shared" si="8"/>
        <v>0</v>
      </c>
      <c r="V19" s="61">
        <f t="shared" si="8"/>
        <v>0</v>
      </c>
      <c r="W19" s="61">
        <f t="shared" si="8"/>
        <v>0</v>
      </c>
      <c r="X19" s="61">
        <f t="shared" si="8"/>
        <v>16</v>
      </c>
      <c r="Y19" s="61">
        <f t="shared" si="8"/>
        <v>575</v>
      </c>
      <c r="Z19" s="61">
        <f t="shared" si="8"/>
        <v>175</v>
      </c>
      <c r="AA19" s="61">
        <f t="shared" si="8"/>
        <v>185</v>
      </c>
      <c r="AB19" s="61">
        <f t="shared" si="8"/>
        <v>215</v>
      </c>
      <c r="AC19" s="61">
        <f t="shared" si="8"/>
        <v>0</v>
      </c>
      <c r="AD19" s="61">
        <f t="shared" si="8"/>
        <v>925</v>
      </c>
      <c r="AE19" s="61">
        <f t="shared" si="8"/>
        <v>37</v>
      </c>
    </row>
    <row r="20" spans="1:31" ht="25.5" customHeight="1">
      <c r="A20" s="316" t="s">
        <v>394</v>
      </c>
      <c r="B20" s="317"/>
      <c r="C20" s="318"/>
      <c r="D20" s="317"/>
      <c r="E20" s="317"/>
      <c r="F20" s="317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63"/>
    </row>
    <row r="21" spans="1:31" ht="25.5" customHeight="1">
      <c r="A21" s="53">
        <v>6.1</v>
      </c>
      <c r="B21" s="40" t="s">
        <v>62</v>
      </c>
      <c r="C21" s="311" t="str">
        <f>"0912-7LEK-C"&amp;A21&amp;"-"&amp;UPPER(LEFT(B21,1))&amp;"iIT"</f>
        <v>0912-7LEK-C6,1-AiIT</v>
      </c>
      <c r="D21" s="312">
        <v>8</v>
      </c>
      <c r="E21" s="313">
        <v>7.8</v>
      </c>
      <c r="F21" s="313"/>
      <c r="G21" s="54">
        <v>15</v>
      </c>
      <c r="H21" s="54">
        <v>10</v>
      </c>
      <c r="I21" s="54">
        <v>15</v>
      </c>
      <c r="J21" s="54">
        <v>10</v>
      </c>
      <c r="K21" s="54">
        <v>25</v>
      </c>
      <c r="L21" s="54"/>
      <c r="M21" s="54"/>
      <c r="N21" s="54"/>
      <c r="O21" s="54">
        <v>3</v>
      </c>
      <c r="P21" s="55">
        <v>15</v>
      </c>
      <c r="Q21" s="55">
        <v>10</v>
      </c>
      <c r="R21" s="55">
        <v>15</v>
      </c>
      <c r="S21" s="55">
        <v>0</v>
      </c>
      <c r="T21" s="55">
        <v>10</v>
      </c>
      <c r="U21" s="55"/>
      <c r="V21" s="55"/>
      <c r="W21" s="55"/>
      <c r="X21" s="55">
        <v>2</v>
      </c>
      <c r="Y21" s="44">
        <f>SUM(Z21:AC21)</f>
        <v>95</v>
      </c>
      <c r="Z21" s="44">
        <f>SUM(G21,P21)</f>
        <v>30</v>
      </c>
      <c r="AA21" s="44">
        <f>SUM(I21,R21)</f>
        <v>30</v>
      </c>
      <c r="AB21" s="44">
        <f>SUM(K21,T21)</f>
        <v>35</v>
      </c>
      <c r="AC21" s="44">
        <f>SUM(M21,V21)</f>
        <v>0</v>
      </c>
      <c r="AD21" s="44">
        <f>SUM(G21:N21,P21:W21)</f>
        <v>125</v>
      </c>
      <c r="AE21" s="44">
        <f>SUM(O21,X21)</f>
        <v>5</v>
      </c>
    </row>
    <row r="22" spans="1:31" s="293" customFormat="1" ht="25.5" customHeight="1">
      <c r="A22" s="53">
        <v>6.2</v>
      </c>
      <c r="B22" s="40" t="s">
        <v>63</v>
      </c>
      <c r="C22" s="311" t="str">
        <f>"0912-7LEK-C"&amp;A22&amp;"-"&amp;UPPER(LEFT(B22,1))</f>
        <v>0912-7LEK-C6,2-C</v>
      </c>
      <c r="D22" s="312">
        <v>12</v>
      </c>
      <c r="E22" s="322" t="s">
        <v>426</v>
      </c>
      <c r="F22" s="313"/>
      <c r="G22" s="54">
        <v>15</v>
      </c>
      <c r="H22" s="54">
        <v>10</v>
      </c>
      <c r="I22" s="54">
        <v>15</v>
      </c>
      <c r="J22" s="54">
        <v>10</v>
      </c>
      <c r="K22" s="54">
        <v>25</v>
      </c>
      <c r="L22" s="54"/>
      <c r="M22" s="54"/>
      <c r="N22" s="54"/>
      <c r="O22" s="54">
        <v>3</v>
      </c>
      <c r="P22" s="55">
        <v>15</v>
      </c>
      <c r="Q22" s="55">
        <v>10</v>
      </c>
      <c r="R22" s="55">
        <v>15</v>
      </c>
      <c r="S22" s="55">
        <v>10</v>
      </c>
      <c r="T22" s="55"/>
      <c r="U22" s="55"/>
      <c r="V22" s="55"/>
      <c r="W22" s="55"/>
      <c r="X22" s="55">
        <v>2</v>
      </c>
      <c r="Y22" s="44">
        <f>SUM(Z22:AC22)</f>
        <v>85</v>
      </c>
      <c r="Z22" s="44">
        <f>SUM(G22,P22)</f>
        <v>30</v>
      </c>
      <c r="AA22" s="44">
        <f>SUM(I22,R22)</f>
        <v>30</v>
      </c>
      <c r="AB22" s="44">
        <f>SUM(K22,T22)</f>
        <v>25</v>
      </c>
      <c r="AC22" s="44">
        <f>SUM(M22,V22)</f>
        <v>0</v>
      </c>
      <c r="AD22" s="44">
        <f>SUM(G22:N22,P22:W22)</f>
        <v>125</v>
      </c>
      <c r="AE22" s="44">
        <f>SUM(O22,X22)</f>
        <v>5</v>
      </c>
    </row>
    <row r="23" spans="1:31" s="293" customFormat="1" ht="25.5" customHeight="1">
      <c r="A23" s="386">
        <v>6.11</v>
      </c>
      <c r="B23" s="41" t="s">
        <v>73</v>
      </c>
      <c r="C23" s="311" t="str">
        <f>"0912-7LEK-C"&amp;A23&amp;"-"&amp;UPPER(LEFT(B23,1))</f>
        <v>0912-7LEK-C6,11-T</v>
      </c>
      <c r="D23" s="312">
        <v>8</v>
      </c>
      <c r="E23" s="313">
        <v>8</v>
      </c>
      <c r="F23" s="313"/>
      <c r="G23" s="54"/>
      <c r="H23" s="54"/>
      <c r="I23" s="54"/>
      <c r="J23" s="54"/>
      <c r="K23" s="54"/>
      <c r="L23" s="54"/>
      <c r="M23" s="54"/>
      <c r="N23" s="54"/>
      <c r="O23" s="54"/>
      <c r="P23" s="55">
        <v>15</v>
      </c>
      <c r="Q23" s="55">
        <v>10</v>
      </c>
      <c r="R23" s="55"/>
      <c r="S23" s="55"/>
      <c r="T23" s="55"/>
      <c r="U23" s="55"/>
      <c r="V23" s="55"/>
      <c r="W23" s="55"/>
      <c r="X23" s="55">
        <v>1</v>
      </c>
      <c r="Y23" s="44">
        <f>SUM(Z23:AC23)</f>
        <v>15</v>
      </c>
      <c r="Z23" s="44">
        <f>SUM(G23,P23)</f>
        <v>15</v>
      </c>
      <c r="AA23" s="44">
        <f>SUM(I23,R23)</f>
        <v>0</v>
      </c>
      <c r="AB23" s="44">
        <f>SUM(K23,T23)</f>
        <v>0</v>
      </c>
      <c r="AC23" s="44">
        <f>SUM(M23,V23)</f>
        <v>0</v>
      </c>
      <c r="AD23" s="44">
        <f>SUM(G23:N23,P23:W23)</f>
        <v>25</v>
      </c>
      <c r="AE23" s="44">
        <f>SUM(O23,X23)</f>
        <v>1</v>
      </c>
    </row>
    <row r="24" spans="1:31" ht="22.5" customHeight="1">
      <c r="A24" s="407">
        <v>6.13</v>
      </c>
      <c r="B24" s="323" t="s">
        <v>74</v>
      </c>
      <c r="C24" s="311" t="str">
        <f>RAZEM!C61</f>
        <v>0912-7LEK-C6,13-DO</v>
      </c>
      <c r="D24" s="312">
        <v>8</v>
      </c>
      <c r="E24" s="313">
        <v>8</v>
      </c>
      <c r="F24" s="313"/>
      <c r="G24" s="54"/>
      <c r="H24" s="54"/>
      <c r="I24" s="54"/>
      <c r="J24" s="54"/>
      <c r="K24" s="54"/>
      <c r="L24" s="54"/>
      <c r="M24" s="54"/>
      <c r="N24" s="54"/>
      <c r="O24" s="54"/>
      <c r="P24" s="55">
        <v>15</v>
      </c>
      <c r="Q24" s="55">
        <v>10</v>
      </c>
      <c r="R24" s="55">
        <v>15</v>
      </c>
      <c r="S24" s="55">
        <v>10</v>
      </c>
      <c r="T24" s="55">
        <v>25</v>
      </c>
      <c r="U24" s="55"/>
      <c r="V24" s="55"/>
      <c r="W24" s="55"/>
      <c r="X24" s="55">
        <v>3</v>
      </c>
      <c r="Y24" s="44">
        <f t="shared" ref="Y24" si="9">SUM(Z24:AC24)</f>
        <v>55</v>
      </c>
      <c r="Z24" s="44">
        <f>SUM(G24,P24)</f>
        <v>15</v>
      </c>
      <c r="AA24" s="44">
        <f>SUM(I24,R24)</f>
        <v>15</v>
      </c>
      <c r="AB24" s="44">
        <f t="shared" ref="AB24" si="10">SUM(K24,T24)</f>
        <v>25</v>
      </c>
      <c r="AC24" s="44">
        <f t="shared" ref="AC24" si="11">SUM(M24,V24)</f>
        <v>0</v>
      </c>
      <c r="AD24" s="44">
        <f>SUM(G24:N24,P24:W24)</f>
        <v>75</v>
      </c>
      <c r="AE24" s="44">
        <f>SUM(O24,X24)</f>
        <v>3</v>
      </c>
    </row>
    <row r="25" spans="1:31" ht="15.75">
      <c r="A25" s="580" t="s">
        <v>9</v>
      </c>
      <c r="B25" s="581"/>
      <c r="C25" s="582"/>
      <c r="D25" s="315"/>
      <c r="E25" s="315"/>
      <c r="F25" s="315"/>
      <c r="G25" s="61">
        <f t="shared" ref="G25:AE25" si="12">SUM(G21:G24)</f>
        <v>30</v>
      </c>
      <c r="H25" s="61">
        <f t="shared" si="12"/>
        <v>20</v>
      </c>
      <c r="I25" s="61">
        <f t="shared" si="12"/>
        <v>30</v>
      </c>
      <c r="J25" s="61">
        <f t="shared" si="12"/>
        <v>20</v>
      </c>
      <c r="K25" s="61">
        <f t="shared" si="12"/>
        <v>50</v>
      </c>
      <c r="L25" s="61">
        <f t="shared" si="12"/>
        <v>0</v>
      </c>
      <c r="M25" s="61">
        <f t="shared" si="12"/>
        <v>0</v>
      </c>
      <c r="N25" s="61">
        <f t="shared" si="12"/>
        <v>0</v>
      </c>
      <c r="O25" s="61">
        <f t="shared" si="12"/>
        <v>6</v>
      </c>
      <c r="P25" s="61">
        <f t="shared" si="12"/>
        <v>60</v>
      </c>
      <c r="Q25" s="61">
        <f t="shared" si="12"/>
        <v>40</v>
      </c>
      <c r="R25" s="61">
        <f t="shared" si="12"/>
        <v>45</v>
      </c>
      <c r="S25" s="61">
        <f t="shared" si="12"/>
        <v>20</v>
      </c>
      <c r="T25" s="61">
        <f t="shared" si="12"/>
        <v>35</v>
      </c>
      <c r="U25" s="61">
        <f t="shared" si="12"/>
        <v>0</v>
      </c>
      <c r="V25" s="61">
        <f t="shared" si="12"/>
        <v>0</v>
      </c>
      <c r="W25" s="61">
        <f t="shared" si="12"/>
        <v>0</v>
      </c>
      <c r="X25" s="61">
        <f t="shared" si="12"/>
        <v>8</v>
      </c>
      <c r="Y25" s="61">
        <f t="shared" si="12"/>
        <v>250</v>
      </c>
      <c r="Z25" s="61">
        <f t="shared" si="12"/>
        <v>90</v>
      </c>
      <c r="AA25" s="61">
        <f t="shared" si="12"/>
        <v>75</v>
      </c>
      <c r="AB25" s="61">
        <f t="shared" si="12"/>
        <v>85</v>
      </c>
      <c r="AC25" s="61">
        <f t="shared" si="12"/>
        <v>0</v>
      </c>
      <c r="AD25" s="61">
        <f t="shared" si="12"/>
        <v>350</v>
      </c>
      <c r="AE25" s="61">
        <f t="shared" si="12"/>
        <v>14</v>
      </c>
    </row>
    <row r="26" spans="1:31" ht="25.5" customHeight="1">
      <c r="A26" s="316" t="s">
        <v>384</v>
      </c>
      <c r="B26" s="317"/>
      <c r="C26" s="318"/>
      <c r="D26" s="317"/>
      <c r="E26" s="317"/>
      <c r="F26" s="317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63"/>
    </row>
    <row r="27" spans="1:31" ht="30.75" customHeight="1">
      <c r="A27" s="53">
        <v>9.5</v>
      </c>
      <c r="B27" s="323" t="s">
        <v>86</v>
      </c>
      <c r="C27" s="311" t="str">
        <f>"0912-7LEK-C"&amp;A27&amp;"-"&amp;UPPER(LEFT(B27,1))&amp;"T"</f>
        <v>0912-7LEK-C9,5-IT</v>
      </c>
      <c r="D27" s="312"/>
      <c r="E27" s="313">
        <v>8</v>
      </c>
      <c r="F27" s="313"/>
      <c r="G27" s="54"/>
      <c r="H27" s="54"/>
      <c r="I27" s="54"/>
      <c r="J27" s="54"/>
      <c r="K27" s="54"/>
      <c r="L27" s="54"/>
      <c r="M27" s="54"/>
      <c r="N27" s="54"/>
      <c r="O27" s="54"/>
      <c r="P27" s="55"/>
      <c r="Q27" s="55"/>
      <c r="R27" s="55"/>
      <c r="S27" s="55"/>
      <c r="T27" s="55">
        <v>60</v>
      </c>
      <c r="U27" s="55"/>
      <c r="V27" s="55"/>
      <c r="W27" s="55"/>
      <c r="X27" s="55">
        <v>2</v>
      </c>
      <c r="Y27" s="44">
        <f>SUM(Z27:AC27)</f>
        <v>60</v>
      </c>
      <c r="Z27" s="44">
        <f>SUM(G27,P27)</f>
        <v>0</v>
      </c>
      <c r="AA27" s="44">
        <f>SUM(I27,R27)</f>
        <v>0</v>
      </c>
      <c r="AB27" s="44">
        <f>SUM(K27,T27)</f>
        <v>60</v>
      </c>
      <c r="AC27" s="44">
        <f>SUM(M27,V27)</f>
        <v>0</v>
      </c>
      <c r="AD27" s="44">
        <f>SUM(G27:N27,P27:W27)</f>
        <v>60</v>
      </c>
      <c r="AE27" s="44">
        <f>SUM(O27,X27)</f>
        <v>2</v>
      </c>
    </row>
    <row r="28" spans="1:31" ht="30.75" customHeight="1">
      <c r="A28" s="53">
        <v>9.6</v>
      </c>
      <c r="B28" s="323" t="s">
        <v>51</v>
      </c>
      <c r="C28" s="311" t="str">
        <f>"12.6-3LEK-C"&amp;A28&amp;"-"&amp;UPPER(LEFT(B28,1))</f>
        <v>12.6-3LEK-C9,6-P</v>
      </c>
      <c r="D28" s="312"/>
      <c r="E28" s="313">
        <v>8</v>
      </c>
      <c r="F28" s="313"/>
      <c r="G28" s="54"/>
      <c r="H28" s="54"/>
      <c r="I28" s="54"/>
      <c r="J28" s="54"/>
      <c r="K28" s="54"/>
      <c r="L28" s="54"/>
      <c r="M28" s="54"/>
      <c r="N28" s="54"/>
      <c r="O28" s="54"/>
      <c r="P28" s="55"/>
      <c r="Q28" s="55"/>
      <c r="R28" s="55"/>
      <c r="S28" s="55"/>
      <c r="T28" s="55">
        <v>60</v>
      </c>
      <c r="U28" s="55"/>
      <c r="V28" s="55"/>
      <c r="W28" s="55"/>
      <c r="X28" s="55">
        <v>2</v>
      </c>
      <c r="Y28" s="44">
        <f>SUM(Z28:AC28)</f>
        <v>60</v>
      </c>
      <c r="Z28" s="44">
        <f>SUM(G28,P28)</f>
        <v>0</v>
      </c>
      <c r="AA28" s="44">
        <f>SUM(I28,R28)</f>
        <v>0</v>
      </c>
      <c r="AB28" s="44">
        <f>SUM(K28,T28)</f>
        <v>60</v>
      </c>
      <c r="AC28" s="44">
        <f>SUM(M28,V28)</f>
        <v>0</v>
      </c>
      <c r="AD28" s="44">
        <f>SUM(G28:N28,P28:W28)</f>
        <v>60</v>
      </c>
      <c r="AE28" s="44">
        <f>SUM(O28,X28)</f>
        <v>2</v>
      </c>
    </row>
    <row r="29" spans="1:31" ht="15.75">
      <c r="A29" s="580" t="s">
        <v>9</v>
      </c>
      <c r="B29" s="581"/>
      <c r="C29" s="582"/>
      <c r="D29" s="315"/>
      <c r="E29" s="315"/>
      <c r="F29" s="315"/>
      <c r="G29" s="61">
        <f t="shared" ref="G29:X29" si="13">SUM(G27:G28)</f>
        <v>0</v>
      </c>
      <c r="H29" s="61">
        <f t="shared" si="13"/>
        <v>0</v>
      </c>
      <c r="I29" s="61">
        <f t="shared" si="13"/>
        <v>0</v>
      </c>
      <c r="J29" s="61">
        <f t="shared" si="13"/>
        <v>0</v>
      </c>
      <c r="K29" s="61">
        <f t="shared" si="13"/>
        <v>0</v>
      </c>
      <c r="L29" s="61">
        <f t="shared" si="13"/>
        <v>0</v>
      </c>
      <c r="M29" s="61">
        <f t="shared" si="13"/>
        <v>0</v>
      </c>
      <c r="N29" s="61">
        <f t="shared" si="13"/>
        <v>0</v>
      </c>
      <c r="O29" s="61">
        <f t="shared" si="13"/>
        <v>0</v>
      </c>
      <c r="P29" s="61">
        <f t="shared" si="13"/>
        <v>0</v>
      </c>
      <c r="Q29" s="61">
        <f t="shared" si="13"/>
        <v>0</v>
      </c>
      <c r="R29" s="61">
        <f t="shared" si="13"/>
        <v>0</v>
      </c>
      <c r="S29" s="61">
        <f t="shared" si="13"/>
        <v>0</v>
      </c>
      <c r="T29" s="61">
        <f t="shared" si="13"/>
        <v>120</v>
      </c>
      <c r="U29" s="61">
        <f t="shared" si="13"/>
        <v>0</v>
      </c>
      <c r="V29" s="61">
        <f t="shared" si="13"/>
        <v>0</v>
      </c>
      <c r="W29" s="61">
        <f t="shared" si="13"/>
        <v>0</v>
      </c>
      <c r="X29" s="61">
        <f t="shared" si="13"/>
        <v>4</v>
      </c>
      <c r="Y29" s="61">
        <f t="shared" ref="Y29:AE29" si="14">SUM(Y27:Y28)</f>
        <v>120</v>
      </c>
      <c r="Z29" s="61">
        <f t="shared" si="14"/>
        <v>0</v>
      </c>
      <c r="AA29" s="61">
        <f t="shared" si="14"/>
        <v>0</v>
      </c>
      <c r="AB29" s="61">
        <f t="shared" si="14"/>
        <v>120</v>
      </c>
      <c r="AC29" s="61">
        <f t="shared" si="14"/>
        <v>0</v>
      </c>
      <c r="AD29" s="61">
        <f t="shared" si="14"/>
        <v>120</v>
      </c>
      <c r="AE29" s="61">
        <f t="shared" si="14"/>
        <v>4</v>
      </c>
    </row>
    <row r="30" spans="1:31" ht="15.75" hidden="1">
      <c r="A30" s="316" t="s">
        <v>301</v>
      </c>
      <c r="B30" s="317"/>
      <c r="C30" s="318"/>
      <c r="D30" s="362"/>
      <c r="E30" s="362"/>
      <c r="F30" s="362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63"/>
    </row>
    <row r="31" spans="1:31" ht="30.75" hidden="1" customHeight="1">
      <c r="A31" s="53">
        <v>11.3</v>
      </c>
      <c r="B31" s="20" t="s">
        <v>108</v>
      </c>
      <c r="C31" s="311" t="str">
        <f>"0912-7LEK-A"&amp;A31&amp;"-"&amp;UPPER(LEFT(B31,1))&amp;"F"</f>
        <v>0912-7LEK-A11,3-WF</v>
      </c>
      <c r="D31" s="312"/>
      <c r="E31" s="387"/>
      <c r="F31" s="313" t="s">
        <v>120</v>
      </c>
      <c r="G31" s="54"/>
      <c r="H31" s="54"/>
      <c r="I31" s="54"/>
      <c r="J31" s="54"/>
      <c r="K31" s="54"/>
      <c r="L31" s="54"/>
      <c r="M31" s="54"/>
      <c r="N31" s="54"/>
      <c r="O31" s="54">
        <v>0</v>
      </c>
      <c r="P31" s="55"/>
      <c r="Q31" s="55"/>
      <c r="R31" s="55"/>
      <c r="S31" s="55"/>
      <c r="T31" s="55"/>
      <c r="U31" s="55"/>
      <c r="V31" s="55"/>
      <c r="W31" s="55"/>
      <c r="X31" s="55">
        <v>0</v>
      </c>
      <c r="Y31" s="379">
        <f>SUM(Z31:AC31)</f>
        <v>0</v>
      </c>
      <c r="Z31" s="379">
        <f>SUM(G31,P31)</f>
        <v>0</v>
      </c>
      <c r="AA31" s="379">
        <f>SUM(I31,R31)</f>
        <v>0</v>
      </c>
      <c r="AB31" s="379">
        <f>SUM(K31,T31)</f>
        <v>0</v>
      </c>
      <c r="AC31" s="379">
        <f>SUM(M31,V31)</f>
        <v>0</v>
      </c>
      <c r="AD31" s="379">
        <f>SUM(G31:N31,P31:W31)</f>
        <v>0</v>
      </c>
      <c r="AE31" s="379">
        <f>SUM(O31,X31)</f>
        <v>0</v>
      </c>
    </row>
    <row r="32" spans="1:31" ht="15.75" hidden="1">
      <c r="A32" s="580" t="s">
        <v>9</v>
      </c>
      <c r="B32" s="581"/>
      <c r="C32" s="582"/>
      <c r="D32" s="315"/>
      <c r="E32" s="315"/>
      <c r="F32" s="315"/>
      <c r="G32" s="61">
        <f t="shared" ref="G32:X32" si="15">SUM(G31:G31)</f>
        <v>0</v>
      </c>
      <c r="H32" s="61">
        <f t="shared" si="15"/>
        <v>0</v>
      </c>
      <c r="I32" s="61">
        <f t="shared" si="15"/>
        <v>0</v>
      </c>
      <c r="J32" s="61">
        <f t="shared" si="15"/>
        <v>0</v>
      </c>
      <c r="K32" s="61">
        <f t="shared" si="15"/>
        <v>0</v>
      </c>
      <c r="L32" s="61">
        <f t="shared" si="15"/>
        <v>0</v>
      </c>
      <c r="M32" s="61">
        <f t="shared" si="15"/>
        <v>0</v>
      </c>
      <c r="N32" s="61">
        <f t="shared" si="15"/>
        <v>0</v>
      </c>
      <c r="O32" s="61">
        <f t="shared" si="15"/>
        <v>0</v>
      </c>
      <c r="P32" s="61">
        <f t="shared" si="15"/>
        <v>0</v>
      </c>
      <c r="Q32" s="61">
        <f t="shared" si="15"/>
        <v>0</v>
      </c>
      <c r="R32" s="61">
        <f t="shared" si="15"/>
        <v>0</v>
      </c>
      <c r="S32" s="61">
        <f t="shared" si="15"/>
        <v>0</v>
      </c>
      <c r="T32" s="61">
        <f t="shared" si="15"/>
        <v>0</v>
      </c>
      <c r="U32" s="61">
        <f t="shared" si="15"/>
        <v>0</v>
      </c>
      <c r="V32" s="61">
        <f t="shared" si="15"/>
        <v>0</v>
      </c>
      <c r="W32" s="61">
        <f t="shared" si="15"/>
        <v>0</v>
      </c>
      <c r="X32" s="61">
        <f t="shared" si="15"/>
        <v>0</v>
      </c>
      <c r="Y32" s="61">
        <f t="shared" ref="Y32:AE32" si="16">SUM(Y31:Y31)</f>
        <v>0</v>
      </c>
      <c r="Z32" s="61">
        <f t="shared" si="16"/>
        <v>0</v>
      </c>
      <c r="AA32" s="61">
        <f t="shared" si="16"/>
        <v>0</v>
      </c>
      <c r="AB32" s="61">
        <f t="shared" si="16"/>
        <v>0</v>
      </c>
      <c r="AC32" s="61">
        <f t="shared" si="16"/>
        <v>0</v>
      </c>
      <c r="AD32" s="61">
        <f t="shared" si="16"/>
        <v>0</v>
      </c>
      <c r="AE32" s="61">
        <f t="shared" si="16"/>
        <v>0</v>
      </c>
    </row>
    <row r="33" spans="1:31" ht="21.75" customHeight="1">
      <c r="A33" s="316" t="s">
        <v>388</v>
      </c>
      <c r="B33" s="317"/>
      <c r="C33" s="318"/>
      <c r="D33" s="317"/>
      <c r="E33" s="317"/>
      <c r="F33" s="317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63"/>
    </row>
    <row r="34" spans="1:31" ht="30" customHeight="1">
      <c r="A34" s="57" t="s">
        <v>136</v>
      </c>
      <c r="B34" s="680" t="s">
        <v>115</v>
      </c>
      <c r="C34" s="681"/>
      <c r="D34" s="312"/>
      <c r="E34" s="313">
        <v>7</v>
      </c>
      <c r="F34" s="313"/>
      <c r="G34" s="54">
        <v>15</v>
      </c>
      <c r="H34" s="54">
        <v>10</v>
      </c>
      <c r="I34" s="54"/>
      <c r="J34" s="54"/>
      <c r="K34" s="54"/>
      <c r="L34" s="54"/>
      <c r="M34" s="54"/>
      <c r="N34" s="54"/>
      <c r="O34" s="54">
        <v>1</v>
      </c>
      <c r="P34" s="55"/>
      <c r="Q34" s="55"/>
      <c r="R34" s="55"/>
      <c r="S34" s="55"/>
      <c r="T34" s="55"/>
      <c r="U34" s="55"/>
      <c r="V34" s="55"/>
      <c r="W34" s="55"/>
      <c r="X34" s="55"/>
      <c r="Y34" s="44">
        <f>SUM(Z34:AC34)</f>
        <v>15</v>
      </c>
      <c r="Z34" s="44">
        <f t="shared" ref="Z34:Z39" si="17">SUM(G34,P34)</f>
        <v>15</v>
      </c>
      <c r="AA34" s="44">
        <f t="shared" ref="AA34:AA39" si="18">SUM(I34,R34)</f>
        <v>0</v>
      </c>
      <c r="AB34" s="44">
        <f>SUM(K34,T34)</f>
        <v>0</v>
      </c>
      <c r="AC34" s="44">
        <f>SUM(M34,V34)</f>
        <v>0</v>
      </c>
      <c r="AD34" s="44">
        <f t="shared" ref="AD34:AD39" si="19">SUM(G34:N34,P34:W34)</f>
        <v>25</v>
      </c>
      <c r="AE34" s="44">
        <f t="shared" ref="AE34:AE39" si="20">SUM(O34,X34)</f>
        <v>1</v>
      </c>
    </row>
    <row r="35" spans="1:31" ht="30" customHeight="1">
      <c r="A35" s="57" t="s">
        <v>137</v>
      </c>
      <c r="B35" s="680" t="s">
        <v>115</v>
      </c>
      <c r="C35" s="681"/>
      <c r="D35" s="312"/>
      <c r="E35" s="313">
        <v>7</v>
      </c>
      <c r="F35" s="313"/>
      <c r="G35" s="54">
        <v>15</v>
      </c>
      <c r="H35" s="54">
        <v>10</v>
      </c>
      <c r="I35" s="54"/>
      <c r="J35" s="54"/>
      <c r="K35" s="54"/>
      <c r="L35" s="54"/>
      <c r="M35" s="54"/>
      <c r="N35" s="54"/>
      <c r="O35" s="54">
        <v>1</v>
      </c>
      <c r="P35" s="55"/>
      <c r="Q35" s="55"/>
      <c r="R35" s="55"/>
      <c r="S35" s="55"/>
      <c r="T35" s="55"/>
      <c r="U35" s="55"/>
      <c r="V35" s="55"/>
      <c r="W35" s="55"/>
      <c r="X35" s="55"/>
      <c r="Y35" s="44">
        <f t="shared" ref="Y35:Y39" si="21">SUM(Z35:AC35)</f>
        <v>15</v>
      </c>
      <c r="Z35" s="44">
        <f t="shared" si="17"/>
        <v>15</v>
      </c>
      <c r="AA35" s="44">
        <f t="shared" si="18"/>
        <v>0</v>
      </c>
      <c r="AB35" s="44">
        <f t="shared" ref="AB35:AB39" si="22">SUM(K35,T35)</f>
        <v>0</v>
      </c>
      <c r="AC35" s="44">
        <f t="shared" ref="AC35:AC39" si="23">SUM(M35,V35)</f>
        <v>0</v>
      </c>
      <c r="AD35" s="44">
        <f t="shared" si="19"/>
        <v>25</v>
      </c>
      <c r="AE35" s="44">
        <f t="shared" si="20"/>
        <v>1</v>
      </c>
    </row>
    <row r="36" spans="1:31" ht="30" customHeight="1">
      <c r="A36" s="57" t="s">
        <v>138</v>
      </c>
      <c r="B36" s="680" t="s">
        <v>115</v>
      </c>
      <c r="C36" s="681"/>
      <c r="D36" s="312"/>
      <c r="E36" s="313">
        <v>7</v>
      </c>
      <c r="F36" s="313"/>
      <c r="G36" s="54">
        <v>15</v>
      </c>
      <c r="H36" s="54">
        <v>10</v>
      </c>
      <c r="I36" s="54"/>
      <c r="J36" s="54"/>
      <c r="K36" s="54"/>
      <c r="L36" s="54"/>
      <c r="M36" s="54"/>
      <c r="N36" s="54"/>
      <c r="O36" s="54">
        <v>1</v>
      </c>
      <c r="P36" s="55"/>
      <c r="Q36" s="55"/>
      <c r="R36" s="55"/>
      <c r="S36" s="55"/>
      <c r="T36" s="55"/>
      <c r="U36" s="55"/>
      <c r="V36" s="55"/>
      <c r="W36" s="55"/>
      <c r="X36" s="55"/>
      <c r="Y36" s="44">
        <f t="shared" si="21"/>
        <v>15</v>
      </c>
      <c r="Z36" s="44">
        <f t="shared" si="17"/>
        <v>15</v>
      </c>
      <c r="AA36" s="44">
        <f t="shared" si="18"/>
        <v>0</v>
      </c>
      <c r="AB36" s="44">
        <f t="shared" si="22"/>
        <v>0</v>
      </c>
      <c r="AC36" s="44">
        <f t="shared" si="23"/>
        <v>0</v>
      </c>
      <c r="AD36" s="44">
        <f t="shared" si="19"/>
        <v>25</v>
      </c>
      <c r="AE36" s="44">
        <f t="shared" si="20"/>
        <v>1</v>
      </c>
    </row>
    <row r="37" spans="1:31" ht="30" customHeight="1">
      <c r="A37" s="57" t="s">
        <v>146</v>
      </c>
      <c r="B37" s="680" t="s">
        <v>115</v>
      </c>
      <c r="C37" s="681"/>
      <c r="D37" s="312"/>
      <c r="E37" s="313">
        <v>8</v>
      </c>
      <c r="F37" s="313"/>
      <c r="G37" s="54"/>
      <c r="H37" s="54"/>
      <c r="I37" s="54"/>
      <c r="J37" s="54"/>
      <c r="K37" s="54"/>
      <c r="L37" s="54"/>
      <c r="M37" s="54"/>
      <c r="N37" s="54"/>
      <c r="O37" s="54"/>
      <c r="P37" s="55">
        <v>15</v>
      </c>
      <c r="Q37" s="55">
        <v>10</v>
      </c>
      <c r="R37" s="55"/>
      <c r="S37" s="55"/>
      <c r="T37" s="55"/>
      <c r="U37" s="55"/>
      <c r="V37" s="55"/>
      <c r="W37" s="55"/>
      <c r="X37" s="55">
        <v>1</v>
      </c>
      <c r="Y37" s="44">
        <f t="shared" si="21"/>
        <v>15</v>
      </c>
      <c r="Z37" s="44">
        <f t="shared" si="17"/>
        <v>15</v>
      </c>
      <c r="AA37" s="44">
        <f t="shared" si="18"/>
        <v>0</v>
      </c>
      <c r="AB37" s="44">
        <f t="shared" si="22"/>
        <v>0</v>
      </c>
      <c r="AC37" s="44">
        <f t="shared" si="23"/>
        <v>0</v>
      </c>
      <c r="AD37" s="44">
        <f t="shared" si="19"/>
        <v>25</v>
      </c>
      <c r="AE37" s="44">
        <f t="shared" si="20"/>
        <v>1</v>
      </c>
    </row>
    <row r="38" spans="1:31" ht="30" customHeight="1">
      <c r="A38" s="57" t="s">
        <v>147</v>
      </c>
      <c r="B38" s="680" t="s">
        <v>115</v>
      </c>
      <c r="C38" s="681"/>
      <c r="D38" s="312"/>
      <c r="E38" s="313">
        <v>8</v>
      </c>
      <c r="F38" s="313"/>
      <c r="G38" s="54"/>
      <c r="H38" s="54"/>
      <c r="I38" s="54"/>
      <c r="J38" s="54"/>
      <c r="K38" s="54"/>
      <c r="L38" s="54"/>
      <c r="M38" s="54"/>
      <c r="N38" s="54"/>
      <c r="O38" s="54"/>
      <c r="P38" s="55">
        <v>15</v>
      </c>
      <c r="Q38" s="55">
        <v>10</v>
      </c>
      <c r="R38" s="55"/>
      <c r="S38" s="55"/>
      <c r="T38" s="55"/>
      <c r="U38" s="55"/>
      <c r="V38" s="55"/>
      <c r="W38" s="55"/>
      <c r="X38" s="55">
        <v>1</v>
      </c>
      <c r="Y38" s="44">
        <f t="shared" si="21"/>
        <v>15</v>
      </c>
      <c r="Z38" s="44">
        <f t="shared" si="17"/>
        <v>15</v>
      </c>
      <c r="AA38" s="44">
        <f t="shared" si="18"/>
        <v>0</v>
      </c>
      <c r="AB38" s="44">
        <f t="shared" si="22"/>
        <v>0</v>
      </c>
      <c r="AC38" s="44">
        <f t="shared" si="23"/>
        <v>0</v>
      </c>
      <c r="AD38" s="44">
        <f t="shared" si="19"/>
        <v>25</v>
      </c>
      <c r="AE38" s="44">
        <f t="shared" si="20"/>
        <v>1</v>
      </c>
    </row>
    <row r="39" spans="1:31" ht="30" customHeight="1">
      <c r="A39" s="57" t="s">
        <v>148</v>
      </c>
      <c r="B39" s="680" t="s">
        <v>115</v>
      </c>
      <c r="C39" s="681"/>
      <c r="D39" s="312"/>
      <c r="E39" s="313">
        <v>8</v>
      </c>
      <c r="F39" s="313"/>
      <c r="G39" s="54"/>
      <c r="H39" s="54"/>
      <c r="I39" s="54"/>
      <c r="J39" s="54"/>
      <c r="K39" s="54"/>
      <c r="L39" s="54"/>
      <c r="M39" s="54"/>
      <c r="N39" s="54"/>
      <c r="O39" s="54"/>
      <c r="P39" s="55">
        <v>15</v>
      </c>
      <c r="Q39" s="55">
        <v>10</v>
      </c>
      <c r="R39" s="55"/>
      <c r="S39" s="55"/>
      <c r="T39" s="55"/>
      <c r="U39" s="55"/>
      <c r="V39" s="55"/>
      <c r="W39" s="55"/>
      <c r="X39" s="55">
        <v>1</v>
      </c>
      <c r="Y39" s="44">
        <f t="shared" si="21"/>
        <v>15</v>
      </c>
      <c r="Z39" s="44">
        <f t="shared" si="17"/>
        <v>15</v>
      </c>
      <c r="AA39" s="44">
        <f t="shared" si="18"/>
        <v>0</v>
      </c>
      <c r="AB39" s="44">
        <f t="shared" si="22"/>
        <v>0</v>
      </c>
      <c r="AC39" s="44">
        <f t="shared" si="23"/>
        <v>0</v>
      </c>
      <c r="AD39" s="44">
        <f t="shared" si="19"/>
        <v>25</v>
      </c>
      <c r="AE39" s="44">
        <f t="shared" si="20"/>
        <v>1</v>
      </c>
    </row>
    <row r="40" spans="1:31" ht="28.5" customHeight="1" thickBot="1">
      <c r="A40" s="632" t="s">
        <v>9</v>
      </c>
      <c r="B40" s="633"/>
      <c r="C40" s="634"/>
      <c r="D40" s="315"/>
      <c r="E40" s="408"/>
      <c r="F40" s="408"/>
      <c r="G40" s="61">
        <f t="shared" ref="G40:X40" si="24">SUM(G34:G39)</f>
        <v>45</v>
      </c>
      <c r="H40" s="61">
        <f t="shared" si="24"/>
        <v>30</v>
      </c>
      <c r="I40" s="61">
        <f t="shared" si="24"/>
        <v>0</v>
      </c>
      <c r="J40" s="61">
        <f t="shared" si="24"/>
        <v>0</v>
      </c>
      <c r="K40" s="61">
        <f t="shared" si="24"/>
        <v>0</v>
      </c>
      <c r="L40" s="61">
        <f t="shared" si="24"/>
        <v>0</v>
      </c>
      <c r="M40" s="61">
        <f t="shared" si="24"/>
        <v>0</v>
      </c>
      <c r="N40" s="61">
        <f t="shared" si="24"/>
        <v>0</v>
      </c>
      <c r="O40" s="61">
        <f t="shared" si="24"/>
        <v>3</v>
      </c>
      <c r="P40" s="61">
        <f t="shared" si="24"/>
        <v>45</v>
      </c>
      <c r="Q40" s="61">
        <f t="shared" si="24"/>
        <v>30</v>
      </c>
      <c r="R40" s="61">
        <f>SUM(R34:R39)</f>
        <v>0</v>
      </c>
      <c r="S40" s="61">
        <f t="shared" si="24"/>
        <v>0</v>
      </c>
      <c r="T40" s="61">
        <f t="shared" si="24"/>
        <v>0</v>
      </c>
      <c r="U40" s="61">
        <f t="shared" si="24"/>
        <v>0</v>
      </c>
      <c r="V40" s="61">
        <f t="shared" si="24"/>
        <v>0</v>
      </c>
      <c r="W40" s="61">
        <f t="shared" si="24"/>
        <v>0</v>
      </c>
      <c r="X40" s="61">
        <f t="shared" si="24"/>
        <v>3</v>
      </c>
      <c r="Y40" s="61">
        <f t="shared" ref="Y40:AE40" si="25">SUM(Y34:Y39)</f>
        <v>90</v>
      </c>
      <c r="Z40" s="61">
        <f t="shared" si="25"/>
        <v>90</v>
      </c>
      <c r="AA40" s="61">
        <f t="shared" si="25"/>
        <v>0</v>
      </c>
      <c r="AB40" s="61">
        <f t="shared" si="25"/>
        <v>0</v>
      </c>
      <c r="AC40" s="61">
        <f t="shared" si="25"/>
        <v>0</v>
      </c>
      <c r="AD40" s="61">
        <f t="shared" si="25"/>
        <v>150</v>
      </c>
      <c r="AE40" s="61">
        <f t="shared" si="25"/>
        <v>6</v>
      </c>
    </row>
    <row r="41" spans="1:31" ht="27" customHeight="1" thickBot="1">
      <c r="A41" s="629" t="s">
        <v>21</v>
      </c>
      <c r="B41" s="630"/>
      <c r="C41" s="631"/>
      <c r="D41" s="409"/>
      <c r="E41" s="409"/>
      <c r="F41" s="409"/>
      <c r="G41" s="328">
        <f t="shared" ref="G41:N41" si="26">SUM(G19,G25,G29,G32,G40)</f>
        <v>170</v>
      </c>
      <c r="H41" s="328">
        <f t="shared" si="26"/>
        <v>115</v>
      </c>
      <c r="I41" s="328">
        <f t="shared" si="26"/>
        <v>120</v>
      </c>
      <c r="J41" s="328">
        <f t="shared" si="26"/>
        <v>155</v>
      </c>
      <c r="K41" s="328">
        <f t="shared" si="26"/>
        <v>190</v>
      </c>
      <c r="L41" s="328">
        <f t="shared" si="26"/>
        <v>0</v>
      </c>
      <c r="M41" s="328">
        <f t="shared" si="26"/>
        <v>0</v>
      </c>
      <c r="N41" s="328">
        <f t="shared" si="26"/>
        <v>0</v>
      </c>
      <c r="O41" s="328">
        <f>SUM(O40,O32,O29,O25,O19,)</f>
        <v>30</v>
      </c>
      <c r="P41" s="328">
        <f t="shared" ref="P41:W41" si="27">SUM(P19,P25,P29,P32,P40)</f>
        <v>185</v>
      </c>
      <c r="Q41" s="328">
        <f t="shared" si="27"/>
        <v>140</v>
      </c>
      <c r="R41" s="328">
        <f t="shared" si="27"/>
        <v>140</v>
      </c>
      <c r="S41" s="328">
        <f t="shared" si="27"/>
        <v>100</v>
      </c>
      <c r="T41" s="328">
        <f t="shared" si="27"/>
        <v>230</v>
      </c>
      <c r="U41" s="328">
        <f t="shared" si="27"/>
        <v>0</v>
      </c>
      <c r="V41" s="328">
        <f t="shared" si="27"/>
        <v>0</v>
      </c>
      <c r="W41" s="328">
        <f t="shared" si="27"/>
        <v>0</v>
      </c>
      <c r="X41" s="328">
        <f>SUM(X40,X32,X29,X25,X19,)</f>
        <v>31</v>
      </c>
      <c r="Y41" s="328">
        <f>SUM(Y40,Y32,Y29,Y25,Y19,)</f>
        <v>1035</v>
      </c>
      <c r="Z41" s="328">
        <f>SUM(Z40,Z32,Z29,Z25,Z19,)</f>
        <v>355</v>
      </c>
      <c r="AA41" s="328">
        <f>SUM(AA40,AA32,AA29,AA25,AA19,)</f>
        <v>260</v>
      </c>
      <c r="AB41" s="328">
        <f>SUM(AB40,AB32,AB29,AB25,AB19,)</f>
        <v>420</v>
      </c>
      <c r="AC41" s="328">
        <f>SUM(AC19,AC25,AC29,AC32,AC40)</f>
        <v>0</v>
      </c>
      <c r="AD41" s="328">
        <f>SUM(AD40,AD32,AD29,AD25,AD19,)</f>
        <v>1545</v>
      </c>
      <c r="AE41" s="328">
        <f>SUM(AE40,AE32,AE29,AE25,AE19,)</f>
        <v>61</v>
      </c>
    </row>
    <row r="42" spans="1:31">
      <c r="A42" s="388"/>
      <c r="B42" s="389"/>
      <c r="C42" s="382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</row>
    <row r="43" spans="1:31" s="1" customFormat="1" ht="18">
      <c r="A43" s="684" t="s">
        <v>557</v>
      </c>
      <c r="B43" s="684"/>
      <c r="C43" s="684"/>
      <c r="D43" s="684"/>
      <c r="E43" s="684"/>
      <c r="F43" s="684"/>
      <c r="G43" s="684"/>
      <c r="H43" s="684"/>
      <c r="I43" s="684"/>
      <c r="J43" s="684"/>
      <c r="K43" s="684"/>
      <c r="L43" s="684"/>
      <c r="M43" s="684"/>
      <c r="N43" s="684"/>
      <c r="O43" s="684"/>
      <c r="P43" s="684"/>
      <c r="Q43" s="684"/>
      <c r="R43" s="684"/>
      <c r="S43" s="684"/>
      <c r="T43" s="684"/>
      <c r="U43" s="684"/>
      <c r="V43" s="684"/>
      <c r="W43" s="684"/>
      <c r="X43" s="684"/>
      <c r="Y43" s="684"/>
      <c r="Z43" s="684"/>
      <c r="AA43" s="684"/>
      <c r="AB43" s="684"/>
      <c r="AC43" s="684"/>
      <c r="AD43" s="684"/>
      <c r="AE43" s="684"/>
    </row>
    <row r="44" spans="1:31" ht="30.75" customHeight="1">
      <c r="A44" s="519" t="s">
        <v>200</v>
      </c>
      <c r="B44" s="520" t="s">
        <v>156</v>
      </c>
      <c r="C44" s="507" t="str">
        <f>"0912-7LEK-F"&amp;A44&amp;"-"&amp;UPPER(LEFT(B44,1))</f>
        <v>0912-7LEK-F26-D</v>
      </c>
      <c r="D44" s="522"/>
      <c r="E44" s="508">
        <v>7</v>
      </c>
      <c r="F44" s="508"/>
      <c r="G44" s="506">
        <v>15</v>
      </c>
      <c r="H44" s="506">
        <v>10</v>
      </c>
      <c r="I44" s="506"/>
      <c r="J44" s="506"/>
      <c r="K44" s="506"/>
      <c r="L44" s="506"/>
      <c r="M44" s="506"/>
      <c r="N44" s="506"/>
      <c r="O44" s="506">
        <v>1</v>
      </c>
      <c r="P44" s="503"/>
      <c r="Q44" s="503"/>
      <c r="R44" s="503"/>
      <c r="S44" s="503"/>
      <c r="T44" s="503"/>
      <c r="U44" s="503"/>
      <c r="V44" s="503"/>
      <c r="W44" s="503"/>
      <c r="X44" s="503"/>
      <c r="Y44" s="502">
        <f>SUM(G44,I44,K44,M44,P44,R44,T44,V44)</f>
        <v>15</v>
      </c>
      <c r="Z44" s="502">
        <f>SUM(G44,P44)</f>
        <v>15</v>
      </c>
      <c r="AA44" s="502">
        <f>SUM(I44,R44)</f>
        <v>0</v>
      </c>
      <c r="AB44" s="502">
        <f>SUM(J44,S44)</f>
        <v>0</v>
      </c>
      <c r="AC44" s="502">
        <f>SUM(N44,W44)</f>
        <v>0</v>
      </c>
      <c r="AD44" s="502">
        <f>SUM(G44:N44,P44:W44)</f>
        <v>25</v>
      </c>
      <c r="AE44" s="502">
        <f>SUM(O44,X44)</f>
        <v>1</v>
      </c>
    </row>
    <row r="45" spans="1:31" ht="30.75" customHeight="1">
      <c r="A45" s="519" t="s">
        <v>201</v>
      </c>
      <c r="B45" s="520" t="s">
        <v>154</v>
      </c>
      <c r="C45" s="507" t="str">
        <f>"0912-7LEK-F"&amp;A45&amp;"-"&amp;UPPER(LEFT(B45,1))</f>
        <v>0912-7LEK-F27-F</v>
      </c>
      <c r="D45" s="522"/>
      <c r="E45" s="508">
        <v>7</v>
      </c>
      <c r="F45" s="508"/>
      <c r="G45" s="506">
        <v>15</v>
      </c>
      <c r="H45" s="506">
        <v>10</v>
      </c>
      <c r="I45" s="506"/>
      <c r="J45" s="506"/>
      <c r="K45" s="506"/>
      <c r="L45" s="506"/>
      <c r="M45" s="506"/>
      <c r="N45" s="506"/>
      <c r="O45" s="506">
        <v>1</v>
      </c>
      <c r="P45" s="503"/>
      <c r="Q45" s="503"/>
      <c r="R45" s="503"/>
      <c r="S45" s="503"/>
      <c r="T45" s="503"/>
      <c r="U45" s="503"/>
      <c r="V45" s="503"/>
      <c r="W45" s="503"/>
      <c r="X45" s="503"/>
      <c r="Y45" s="502">
        <f t="shared" ref="Y45:Y53" si="28">SUM(G45,I45,K45,M45,P45,R45,T45,V45)</f>
        <v>15</v>
      </c>
      <c r="Z45" s="502">
        <f t="shared" ref="Z45:Z53" si="29">SUM(G45,P45)</f>
        <v>15</v>
      </c>
      <c r="AA45" s="502">
        <f t="shared" ref="AA45:AA53" si="30">SUM(I45,R45)</f>
        <v>0</v>
      </c>
      <c r="AB45" s="502">
        <f t="shared" ref="AB45:AB53" si="31">SUM(J45,S45)</f>
        <v>0</v>
      </c>
      <c r="AC45" s="502">
        <f t="shared" ref="AC45:AC51" si="32">SUM(N45,W45)</f>
        <v>0</v>
      </c>
      <c r="AD45" s="502">
        <f t="shared" ref="AD45:AD53" si="33">SUM(G45:N45,P45:W45)</f>
        <v>25</v>
      </c>
      <c r="AE45" s="502">
        <f t="shared" ref="AE45:AE53" si="34">SUM(O45,X45)</f>
        <v>1</v>
      </c>
    </row>
    <row r="46" spans="1:31" ht="30.75" customHeight="1">
      <c r="A46" s="519" t="s">
        <v>202</v>
      </c>
      <c r="B46" s="520" t="s">
        <v>155</v>
      </c>
      <c r="C46" s="507" t="str">
        <f t="shared" ref="C46" si="35">"0912-7LEK-F"&amp;A46&amp;"-"&amp;UPPER(LEFT(B46,1))</f>
        <v>0912-7LEK-F28-Z</v>
      </c>
      <c r="D46" s="522"/>
      <c r="E46" s="508">
        <v>7</v>
      </c>
      <c r="F46" s="508"/>
      <c r="G46" s="506">
        <v>15</v>
      </c>
      <c r="H46" s="506">
        <v>10</v>
      </c>
      <c r="I46" s="506"/>
      <c r="J46" s="506"/>
      <c r="K46" s="506"/>
      <c r="L46" s="506"/>
      <c r="M46" s="506"/>
      <c r="N46" s="506"/>
      <c r="O46" s="506">
        <v>1</v>
      </c>
      <c r="P46" s="503"/>
      <c r="Q46" s="503"/>
      <c r="R46" s="503"/>
      <c r="S46" s="503"/>
      <c r="T46" s="503"/>
      <c r="U46" s="503"/>
      <c r="V46" s="503"/>
      <c r="W46" s="503"/>
      <c r="X46" s="503"/>
      <c r="Y46" s="502">
        <f t="shared" si="28"/>
        <v>15</v>
      </c>
      <c r="Z46" s="502">
        <f t="shared" si="29"/>
        <v>15</v>
      </c>
      <c r="AA46" s="502">
        <f t="shared" si="30"/>
        <v>0</v>
      </c>
      <c r="AB46" s="502">
        <f t="shared" si="31"/>
        <v>0</v>
      </c>
      <c r="AC46" s="502">
        <f t="shared" si="32"/>
        <v>0</v>
      </c>
      <c r="AD46" s="502">
        <f t="shared" si="33"/>
        <v>25</v>
      </c>
      <c r="AE46" s="502">
        <f t="shared" si="34"/>
        <v>1</v>
      </c>
    </row>
    <row r="47" spans="1:31" ht="30.75" customHeight="1">
      <c r="A47" s="519" t="s">
        <v>203</v>
      </c>
      <c r="B47" s="520" t="s">
        <v>150</v>
      </c>
      <c r="C47" s="507" t="str">
        <f>"0912-7LEK-F"&amp;A47&amp;"-"&amp;UPPER(LEFT(B47,1))</f>
        <v>0912-7LEK-F29-C</v>
      </c>
      <c r="D47" s="522"/>
      <c r="E47" s="508">
        <v>8</v>
      </c>
      <c r="F47" s="508"/>
      <c r="G47" s="506"/>
      <c r="H47" s="506"/>
      <c r="I47" s="506"/>
      <c r="J47" s="506"/>
      <c r="K47" s="506"/>
      <c r="L47" s="506"/>
      <c r="M47" s="506"/>
      <c r="N47" s="506"/>
      <c r="O47" s="506"/>
      <c r="P47" s="503">
        <v>15</v>
      </c>
      <c r="Q47" s="503">
        <v>10</v>
      </c>
      <c r="R47" s="503"/>
      <c r="S47" s="503"/>
      <c r="T47" s="503"/>
      <c r="U47" s="503"/>
      <c r="V47" s="503"/>
      <c r="W47" s="503"/>
      <c r="X47" s="503"/>
      <c r="Y47" s="502">
        <f t="shared" si="28"/>
        <v>15</v>
      </c>
      <c r="Z47" s="502">
        <f t="shared" si="29"/>
        <v>15</v>
      </c>
      <c r="AA47" s="502">
        <f t="shared" si="30"/>
        <v>0</v>
      </c>
      <c r="AB47" s="502">
        <f t="shared" si="31"/>
        <v>0</v>
      </c>
      <c r="AC47" s="502">
        <f t="shared" si="32"/>
        <v>0</v>
      </c>
      <c r="AD47" s="502">
        <f t="shared" si="33"/>
        <v>25</v>
      </c>
      <c r="AE47" s="502">
        <v>1</v>
      </c>
    </row>
    <row r="48" spans="1:31" ht="30.75" customHeight="1">
      <c r="A48" s="519" t="s">
        <v>245</v>
      </c>
      <c r="B48" s="520" t="s">
        <v>151</v>
      </c>
      <c r="C48" s="507" t="str">
        <f>"0912-7LEK-F"&amp;A48&amp;"-"&amp;UPPER(LEFT(B48,1))</f>
        <v>0912-7LEK-F30-P</v>
      </c>
      <c r="D48" s="522"/>
      <c r="E48" s="508">
        <v>8</v>
      </c>
      <c r="F48" s="508"/>
      <c r="G48" s="506"/>
      <c r="H48" s="506"/>
      <c r="I48" s="506"/>
      <c r="J48" s="506"/>
      <c r="K48" s="506"/>
      <c r="L48" s="506"/>
      <c r="M48" s="506"/>
      <c r="N48" s="506"/>
      <c r="O48" s="506"/>
      <c r="P48" s="503">
        <v>15</v>
      </c>
      <c r="Q48" s="503">
        <v>10</v>
      </c>
      <c r="R48" s="503"/>
      <c r="S48" s="503"/>
      <c r="T48" s="503"/>
      <c r="U48" s="503"/>
      <c r="V48" s="503"/>
      <c r="W48" s="503"/>
      <c r="X48" s="503">
        <v>1</v>
      </c>
      <c r="Y48" s="502">
        <f t="shared" si="28"/>
        <v>15</v>
      </c>
      <c r="Z48" s="502">
        <f t="shared" si="29"/>
        <v>15</v>
      </c>
      <c r="AA48" s="502">
        <f t="shared" si="30"/>
        <v>0</v>
      </c>
      <c r="AB48" s="502">
        <f t="shared" si="31"/>
        <v>0</v>
      </c>
      <c r="AC48" s="502">
        <f t="shared" si="32"/>
        <v>0</v>
      </c>
      <c r="AD48" s="502">
        <f t="shared" si="33"/>
        <v>25</v>
      </c>
      <c r="AE48" s="502">
        <f t="shared" si="34"/>
        <v>1</v>
      </c>
    </row>
    <row r="49" spans="1:31" ht="30.75" customHeight="1">
      <c r="A49" s="519" t="s">
        <v>204</v>
      </c>
      <c r="B49" s="520" t="s">
        <v>152</v>
      </c>
      <c r="C49" s="507" t="s">
        <v>558</v>
      </c>
      <c r="D49" s="522"/>
      <c r="E49" s="508">
        <v>8</v>
      </c>
      <c r="F49" s="508"/>
      <c r="G49" s="506"/>
      <c r="H49" s="506"/>
      <c r="I49" s="506"/>
      <c r="J49" s="506"/>
      <c r="K49" s="506"/>
      <c r="L49" s="506"/>
      <c r="M49" s="506"/>
      <c r="N49" s="506"/>
      <c r="O49" s="506"/>
      <c r="P49" s="503">
        <v>15</v>
      </c>
      <c r="Q49" s="503">
        <v>10</v>
      </c>
      <c r="R49" s="503"/>
      <c r="S49" s="503"/>
      <c r="T49" s="503"/>
      <c r="U49" s="503"/>
      <c r="V49" s="503"/>
      <c r="W49" s="503"/>
      <c r="X49" s="503">
        <v>1</v>
      </c>
      <c r="Y49" s="502">
        <f t="shared" si="28"/>
        <v>15</v>
      </c>
      <c r="Z49" s="502">
        <f t="shared" si="29"/>
        <v>15</v>
      </c>
      <c r="AA49" s="502">
        <f t="shared" si="30"/>
        <v>0</v>
      </c>
      <c r="AB49" s="502">
        <f t="shared" si="31"/>
        <v>0</v>
      </c>
      <c r="AC49" s="502">
        <f t="shared" si="32"/>
        <v>0</v>
      </c>
      <c r="AD49" s="502">
        <f t="shared" si="33"/>
        <v>25</v>
      </c>
      <c r="AE49" s="502">
        <f t="shared" si="34"/>
        <v>1</v>
      </c>
    </row>
    <row r="50" spans="1:31" ht="30.75" customHeight="1">
      <c r="A50" s="519" t="s">
        <v>205</v>
      </c>
      <c r="B50" s="520" t="s">
        <v>157</v>
      </c>
      <c r="C50" s="507" t="s">
        <v>559</v>
      </c>
      <c r="D50" s="522"/>
      <c r="E50" s="508">
        <v>8</v>
      </c>
      <c r="F50" s="508"/>
      <c r="G50" s="506"/>
      <c r="H50" s="506"/>
      <c r="I50" s="506"/>
      <c r="J50" s="506"/>
      <c r="K50" s="506"/>
      <c r="L50" s="506"/>
      <c r="M50" s="506"/>
      <c r="N50" s="506"/>
      <c r="O50" s="506"/>
      <c r="P50" s="503">
        <v>15</v>
      </c>
      <c r="Q50" s="503">
        <v>10</v>
      </c>
      <c r="R50" s="503"/>
      <c r="S50" s="503"/>
      <c r="T50" s="503"/>
      <c r="U50" s="503"/>
      <c r="V50" s="503"/>
      <c r="W50" s="503"/>
      <c r="X50" s="503">
        <v>1</v>
      </c>
      <c r="Y50" s="502">
        <f t="shared" si="28"/>
        <v>15</v>
      </c>
      <c r="Z50" s="502">
        <f t="shared" si="29"/>
        <v>15</v>
      </c>
      <c r="AA50" s="502">
        <f t="shared" si="30"/>
        <v>0</v>
      </c>
      <c r="AB50" s="502">
        <f t="shared" si="31"/>
        <v>0</v>
      </c>
      <c r="AC50" s="502">
        <f t="shared" si="32"/>
        <v>0</v>
      </c>
      <c r="AD50" s="502">
        <f t="shared" si="33"/>
        <v>25</v>
      </c>
      <c r="AE50" s="502">
        <f t="shared" si="34"/>
        <v>1</v>
      </c>
    </row>
    <row r="51" spans="1:31" ht="30.75" customHeight="1">
      <c r="A51" s="519" t="s">
        <v>206</v>
      </c>
      <c r="B51" s="520" t="s">
        <v>153</v>
      </c>
      <c r="C51" s="507" t="s">
        <v>560</v>
      </c>
      <c r="D51" s="522"/>
      <c r="E51" s="508">
        <v>8</v>
      </c>
      <c r="F51" s="508"/>
      <c r="G51" s="506"/>
      <c r="H51" s="506"/>
      <c r="I51" s="506"/>
      <c r="J51" s="506"/>
      <c r="K51" s="506"/>
      <c r="L51" s="506"/>
      <c r="M51" s="506"/>
      <c r="N51" s="506"/>
      <c r="O51" s="506"/>
      <c r="P51" s="503">
        <v>15</v>
      </c>
      <c r="Q51" s="503">
        <v>10</v>
      </c>
      <c r="R51" s="503"/>
      <c r="S51" s="503"/>
      <c r="T51" s="503"/>
      <c r="U51" s="503"/>
      <c r="V51" s="503"/>
      <c r="W51" s="503"/>
      <c r="X51" s="503">
        <v>1</v>
      </c>
      <c r="Y51" s="502">
        <f t="shared" si="28"/>
        <v>15</v>
      </c>
      <c r="Z51" s="502">
        <f t="shared" si="29"/>
        <v>15</v>
      </c>
      <c r="AA51" s="502">
        <f t="shared" si="30"/>
        <v>0</v>
      </c>
      <c r="AB51" s="502">
        <f t="shared" si="31"/>
        <v>0</v>
      </c>
      <c r="AC51" s="502">
        <f t="shared" si="32"/>
        <v>0</v>
      </c>
      <c r="AD51" s="502">
        <f t="shared" si="33"/>
        <v>25</v>
      </c>
      <c r="AE51" s="502">
        <f t="shared" si="34"/>
        <v>1</v>
      </c>
    </row>
    <row r="52" spans="1:31" ht="30.75" customHeight="1">
      <c r="A52" s="519" t="s">
        <v>207</v>
      </c>
      <c r="B52" s="520" t="s">
        <v>510</v>
      </c>
      <c r="C52" s="507" t="s">
        <v>561</v>
      </c>
      <c r="D52" s="522"/>
      <c r="E52" s="508">
        <v>8</v>
      </c>
      <c r="F52" s="508"/>
      <c r="G52" s="506">
        <v>15</v>
      </c>
      <c r="H52" s="506">
        <v>10</v>
      </c>
      <c r="I52" s="506"/>
      <c r="J52" s="506"/>
      <c r="K52" s="506"/>
      <c r="L52" s="506"/>
      <c r="M52" s="506"/>
      <c r="N52" s="506"/>
      <c r="O52" s="506">
        <v>1</v>
      </c>
      <c r="P52" s="503"/>
      <c r="Q52" s="503"/>
      <c r="R52" s="503"/>
      <c r="S52" s="503"/>
      <c r="T52" s="503"/>
      <c r="U52" s="503"/>
      <c r="V52" s="503"/>
      <c r="W52" s="503"/>
      <c r="X52" s="503"/>
      <c r="Y52" s="502">
        <f t="shared" si="28"/>
        <v>15</v>
      </c>
      <c r="Z52" s="502">
        <f t="shared" si="29"/>
        <v>15</v>
      </c>
      <c r="AA52" s="502">
        <f t="shared" si="30"/>
        <v>0</v>
      </c>
      <c r="AB52" s="502">
        <f t="shared" si="31"/>
        <v>0</v>
      </c>
      <c r="AC52" s="502">
        <f>SUM(L52,U52)</f>
        <v>0</v>
      </c>
      <c r="AD52" s="502">
        <f t="shared" si="33"/>
        <v>25</v>
      </c>
      <c r="AE52" s="502">
        <f t="shared" si="34"/>
        <v>1</v>
      </c>
    </row>
    <row r="53" spans="1:31" s="293" customFormat="1" ht="30.75" customHeight="1">
      <c r="A53" s="519" t="s">
        <v>208</v>
      </c>
      <c r="B53" s="521" t="s">
        <v>521</v>
      </c>
      <c r="C53" s="507" t="s">
        <v>562</v>
      </c>
      <c r="D53" s="522"/>
      <c r="E53" s="508">
        <v>8</v>
      </c>
      <c r="F53" s="508"/>
      <c r="G53" s="506"/>
      <c r="H53" s="506"/>
      <c r="I53" s="506"/>
      <c r="J53" s="506"/>
      <c r="K53" s="506"/>
      <c r="L53" s="506"/>
      <c r="M53" s="506"/>
      <c r="N53" s="506"/>
      <c r="O53" s="506"/>
      <c r="P53" s="503">
        <v>15</v>
      </c>
      <c r="Q53" s="503">
        <v>10</v>
      </c>
      <c r="R53" s="503"/>
      <c r="S53" s="503"/>
      <c r="T53" s="503"/>
      <c r="U53" s="503"/>
      <c r="V53" s="503"/>
      <c r="W53" s="503"/>
      <c r="X53" s="503">
        <v>1</v>
      </c>
      <c r="Y53" s="502">
        <f t="shared" si="28"/>
        <v>15</v>
      </c>
      <c r="Z53" s="502">
        <f t="shared" si="29"/>
        <v>15</v>
      </c>
      <c r="AA53" s="502">
        <f t="shared" si="30"/>
        <v>0</v>
      </c>
      <c r="AB53" s="502">
        <f t="shared" si="31"/>
        <v>0</v>
      </c>
      <c r="AC53" s="502">
        <f>SUM(L53,U53)</f>
        <v>0</v>
      </c>
      <c r="AD53" s="502">
        <f t="shared" si="33"/>
        <v>25</v>
      </c>
      <c r="AE53" s="502">
        <f t="shared" si="34"/>
        <v>1</v>
      </c>
    </row>
    <row r="54" spans="1:31" s="293" customFormat="1" ht="30.75" customHeight="1">
      <c r="A54" s="519" t="s">
        <v>209</v>
      </c>
      <c r="B54" s="521" t="s">
        <v>528</v>
      </c>
      <c r="C54" s="507" t="s">
        <v>563</v>
      </c>
      <c r="D54" s="522"/>
      <c r="E54" s="508">
        <v>7</v>
      </c>
      <c r="F54" s="508"/>
      <c r="G54" s="506">
        <v>15</v>
      </c>
      <c r="H54" s="506">
        <v>10</v>
      </c>
      <c r="I54" s="506"/>
      <c r="J54" s="506"/>
      <c r="K54" s="506"/>
      <c r="L54" s="506"/>
      <c r="M54" s="506"/>
      <c r="N54" s="506"/>
      <c r="O54" s="506">
        <v>1</v>
      </c>
      <c r="P54" s="503"/>
      <c r="Q54" s="503"/>
      <c r="R54" s="503"/>
      <c r="S54" s="503"/>
      <c r="T54" s="503"/>
      <c r="U54" s="503"/>
      <c r="V54" s="503"/>
      <c r="W54" s="503"/>
      <c r="X54" s="503"/>
      <c r="Y54" s="502">
        <v>15</v>
      </c>
      <c r="Z54" s="502">
        <v>15</v>
      </c>
      <c r="AA54" s="502">
        <v>0</v>
      </c>
      <c r="AB54" s="502">
        <v>0</v>
      </c>
      <c r="AC54" s="502">
        <v>0</v>
      </c>
      <c r="AD54" s="502">
        <v>25</v>
      </c>
      <c r="AE54" s="502">
        <v>1</v>
      </c>
    </row>
    <row r="55" spans="1:31" s="293" customFormat="1" ht="30.75" customHeight="1">
      <c r="A55" s="519" t="s">
        <v>210</v>
      </c>
      <c r="B55" s="521" t="s">
        <v>529</v>
      </c>
      <c r="C55" s="507" t="s">
        <v>564</v>
      </c>
      <c r="D55" s="522"/>
      <c r="E55" s="508">
        <v>8</v>
      </c>
      <c r="F55" s="508"/>
      <c r="G55" s="506"/>
      <c r="H55" s="506"/>
      <c r="I55" s="506"/>
      <c r="J55" s="506"/>
      <c r="K55" s="506"/>
      <c r="L55" s="506"/>
      <c r="M55" s="506"/>
      <c r="N55" s="506"/>
      <c r="O55" s="506"/>
      <c r="P55" s="503">
        <v>15</v>
      </c>
      <c r="Q55" s="503">
        <v>10</v>
      </c>
      <c r="R55" s="503"/>
      <c r="S55" s="503"/>
      <c r="T55" s="503"/>
      <c r="U55" s="503"/>
      <c r="V55" s="503"/>
      <c r="W55" s="503"/>
      <c r="X55" s="503">
        <v>1</v>
      </c>
      <c r="Y55" s="502">
        <v>15</v>
      </c>
      <c r="Z55" s="502">
        <v>15</v>
      </c>
      <c r="AA55" s="502">
        <v>0</v>
      </c>
      <c r="AB55" s="502">
        <v>0</v>
      </c>
      <c r="AC55" s="502">
        <v>0</v>
      </c>
      <c r="AD55" s="502">
        <v>25</v>
      </c>
      <c r="AE55" s="502">
        <v>1</v>
      </c>
    </row>
    <row r="56" spans="1:31" ht="30.75" customHeight="1">
      <c r="A56" s="391"/>
      <c r="B56" s="391"/>
      <c r="C56" s="392"/>
      <c r="D56" s="393"/>
      <c r="E56" s="393"/>
      <c r="F56" s="393"/>
      <c r="G56" s="383"/>
      <c r="H56" s="404"/>
      <c r="I56" s="10"/>
      <c r="J56" s="404"/>
      <c r="K56" s="404"/>
      <c r="L56" s="404"/>
      <c r="M56" s="404"/>
      <c r="N56" s="404"/>
      <c r="O56" s="404"/>
      <c r="P56" s="404"/>
      <c r="Q56" s="404"/>
      <c r="R56" s="404"/>
      <c r="S56" s="404"/>
      <c r="T56" s="404"/>
      <c r="U56" s="404"/>
      <c r="V56" s="404"/>
      <c r="W56" s="404"/>
      <c r="X56" s="404"/>
      <c r="Y56" s="383"/>
      <c r="Z56" s="383"/>
      <c r="AA56" s="383"/>
      <c r="AB56" s="383"/>
      <c r="AC56" s="383"/>
      <c r="AD56" s="383"/>
      <c r="AE56" s="383"/>
    </row>
    <row r="57" spans="1:31" ht="21">
      <c r="A57" s="391"/>
      <c r="B57" s="391"/>
      <c r="C57" s="392"/>
      <c r="D57" s="393"/>
      <c r="E57" s="393"/>
      <c r="F57" s="393"/>
      <c r="G57" s="383"/>
      <c r="H57" s="404"/>
      <c r="I57" s="10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383"/>
      <c r="Z57" s="383"/>
      <c r="AA57" s="383"/>
      <c r="AB57" s="383"/>
      <c r="AC57" s="383"/>
      <c r="AD57" s="383"/>
      <c r="AE57" s="383"/>
    </row>
    <row r="58" spans="1:31" ht="21">
      <c r="A58" s="391"/>
      <c r="B58" s="391"/>
      <c r="C58" s="392"/>
      <c r="D58" s="393"/>
      <c r="E58" s="393"/>
      <c r="F58" s="393"/>
      <c r="G58" s="383"/>
      <c r="H58" s="404"/>
      <c r="I58" s="10"/>
      <c r="J58" s="404"/>
      <c r="K58" s="404"/>
      <c r="L58" s="298" t="s">
        <v>122</v>
      </c>
      <c r="M58" s="404"/>
      <c r="N58" s="404"/>
      <c r="O58" s="404"/>
      <c r="P58" s="404"/>
      <c r="Q58" s="404"/>
      <c r="R58" s="404"/>
      <c r="S58" s="404"/>
      <c r="T58" s="404"/>
      <c r="U58" s="404"/>
      <c r="V58" s="404"/>
      <c r="W58" s="404"/>
      <c r="X58" s="404"/>
      <c r="Y58" s="383"/>
      <c r="Z58" s="383"/>
      <c r="AA58" s="383"/>
      <c r="AB58" s="383"/>
      <c r="AC58" s="383"/>
      <c r="AD58" s="383"/>
      <c r="AE58" s="383"/>
    </row>
    <row r="59" spans="1:31" ht="21">
      <c r="A59" s="391"/>
      <c r="B59" s="391"/>
      <c r="C59" s="392"/>
      <c r="D59" s="393"/>
      <c r="E59" s="393"/>
      <c r="F59" s="393"/>
      <c r="G59" s="383"/>
      <c r="H59" s="404"/>
      <c r="I59" s="10"/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383"/>
      <c r="Z59" s="383"/>
      <c r="AA59" s="383"/>
      <c r="AB59" s="383"/>
      <c r="AC59" s="383"/>
      <c r="AD59" s="383"/>
      <c r="AE59" s="383"/>
    </row>
    <row r="60" spans="1:31" ht="21">
      <c r="A60" s="388"/>
      <c r="B60" s="381"/>
      <c r="C60" s="398"/>
      <c r="D60" s="393"/>
      <c r="E60" s="393"/>
      <c r="F60" s="393"/>
      <c r="G60" s="383"/>
      <c r="H60" s="404"/>
      <c r="I60" s="10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383"/>
      <c r="Z60" s="383"/>
      <c r="AA60" s="383"/>
      <c r="AB60" s="383"/>
      <c r="AC60" s="383"/>
      <c r="AD60" s="383"/>
      <c r="AE60" s="383"/>
    </row>
    <row r="61" spans="1:31" ht="21">
      <c r="A61" s="399"/>
      <c r="B61" s="298" t="s">
        <v>326</v>
      </c>
      <c r="C61" s="298"/>
      <c r="D61" s="298"/>
      <c r="E61" s="298"/>
      <c r="F61" s="298"/>
      <c r="G61" s="298"/>
      <c r="H61" s="298"/>
      <c r="I61" s="298"/>
      <c r="J61" s="298"/>
      <c r="K61" s="383"/>
      <c r="L61" s="383"/>
      <c r="M61" s="383"/>
      <c r="N61" s="383"/>
      <c r="O61" s="383"/>
      <c r="P61" s="383"/>
      <c r="Q61" s="404"/>
      <c r="R61" s="404"/>
      <c r="S61" s="404"/>
      <c r="T61" s="404"/>
      <c r="U61" s="404"/>
      <c r="V61" s="404"/>
      <c r="W61" s="404"/>
      <c r="X61" s="404"/>
      <c r="Y61" s="383"/>
      <c r="Z61" s="383"/>
      <c r="AA61" s="383"/>
      <c r="AB61" s="383"/>
      <c r="AC61" s="383"/>
      <c r="AD61" s="383"/>
      <c r="AE61" s="383"/>
    </row>
    <row r="62" spans="1:31" ht="21">
      <c r="A62" s="401"/>
      <c r="B62" s="298" t="s">
        <v>499</v>
      </c>
      <c r="C62" s="298"/>
      <c r="D62" s="298"/>
      <c r="E62" s="298"/>
      <c r="F62" s="298"/>
      <c r="G62" s="298"/>
      <c r="H62" s="298"/>
      <c r="I62" s="298"/>
      <c r="J62" s="298"/>
      <c r="K62" s="383"/>
      <c r="L62" s="383"/>
      <c r="M62" s="383"/>
      <c r="N62" s="383"/>
      <c r="O62" s="383"/>
      <c r="P62" s="383"/>
      <c r="Q62" s="404"/>
      <c r="R62" s="404"/>
      <c r="S62" s="404"/>
      <c r="T62" s="404"/>
      <c r="U62" s="404"/>
      <c r="V62" s="404"/>
      <c r="W62" s="404"/>
      <c r="X62" s="404"/>
      <c r="Y62" s="402"/>
      <c r="Z62" s="402"/>
      <c r="AA62" s="402"/>
      <c r="AB62" s="402"/>
      <c r="AC62" s="402"/>
      <c r="AD62" s="402"/>
      <c r="AE62" s="402"/>
    </row>
    <row r="63" spans="1:31" ht="21">
      <c r="A63" s="403"/>
      <c r="B63" s="400" t="s">
        <v>361</v>
      </c>
      <c r="C63" s="400"/>
      <c r="D63" s="400"/>
      <c r="E63" s="400"/>
      <c r="F63" s="400"/>
      <c r="G63" s="400"/>
      <c r="H63" s="400"/>
      <c r="I63" s="298"/>
      <c r="J63" s="298"/>
      <c r="K63" s="383"/>
      <c r="L63" s="383"/>
      <c r="M63" s="383"/>
      <c r="N63" s="383"/>
      <c r="O63" s="383"/>
      <c r="P63" s="383"/>
      <c r="Q63" s="404"/>
      <c r="R63" s="404"/>
      <c r="S63" s="404"/>
      <c r="T63" s="404"/>
      <c r="U63" s="404"/>
      <c r="V63" s="404"/>
      <c r="W63" s="404"/>
      <c r="X63" s="404"/>
      <c r="Y63" s="383"/>
      <c r="Z63" s="383"/>
      <c r="AA63" s="383"/>
      <c r="AB63" s="383"/>
      <c r="AC63" s="383"/>
      <c r="AD63" s="383"/>
      <c r="AE63" s="383"/>
    </row>
    <row r="64" spans="1:31" ht="21">
      <c r="A64" s="382"/>
      <c r="B64" s="400" t="s">
        <v>362</v>
      </c>
      <c r="C64" s="400"/>
      <c r="D64" s="400"/>
      <c r="E64" s="400"/>
      <c r="F64" s="400"/>
      <c r="G64" s="400"/>
      <c r="H64" s="400"/>
      <c r="I64" s="298"/>
      <c r="J64" s="298"/>
      <c r="K64" s="383"/>
      <c r="L64" s="383"/>
      <c r="M64" s="383"/>
      <c r="N64" s="383"/>
      <c r="O64" s="383"/>
      <c r="P64" s="383"/>
      <c r="Q64" s="404"/>
      <c r="R64" s="404"/>
      <c r="S64" s="404"/>
      <c r="T64" s="404"/>
      <c r="U64" s="404"/>
      <c r="V64" s="404"/>
      <c r="W64" s="404"/>
      <c r="X64" s="404"/>
      <c r="Y64" s="383"/>
      <c r="Z64" s="383"/>
      <c r="AA64" s="383"/>
      <c r="AB64" s="383"/>
      <c r="AC64" s="383"/>
      <c r="AD64" s="383"/>
      <c r="AE64" s="383"/>
    </row>
    <row r="65" spans="1:31" ht="21">
      <c r="A65" s="382"/>
      <c r="B65" s="400" t="s">
        <v>363</v>
      </c>
      <c r="C65" s="400"/>
      <c r="D65" s="400"/>
      <c r="E65" s="400"/>
      <c r="F65" s="400"/>
      <c r="G65" s="400"/>
      <c r="H65" s="400"/>
      <c r="I65" s="298"/>
      <c r="J65" s="298"/>
      <c r="K65" s="383"/>
      <c r="L65" s="383"/>
      <c r="M65" s="383"/>
      <c r="N65" s="383"/>
      <c r="O65" s="383"/>
      <c r="P65" s="383"/>
      <c r="Q65" s="404"/>
      <c r="R65" s="404"/>
      <c r="S65" s="404"/>
      <c r="T65" s="404"/>
      <c r="U65" s="404"/>
      <c r="V65" s="404"/>
      <c r="W65" s="404"/>
      <c r="X65" s="404"/>
      <c r="Y65" s="383"/>
      <c r="Z65" s="383"/>
      <c r="AA65" s="383"/>
      <c r="AB65" s="383"/>
      <c r="AC65" s="383"/>
      <c r="AD65" s="383"/>
      <c r="AE65" s="383"/>
    </row>
    <row r="66" spans="1:31" ht="21">
      <c r="A66" s="2"/>
      <c r="B66" s="400" t="s">
        <v>433</v>
      </c>
      <c r="C66" s="400"/>
      <c r="D66" s="400"/>
      <c r="E66" s="400"/>
      <c r="F66" s="400"/>
      <c r="G66" s="400"/>
      <c r="H66" s="400"/>
      <c r="I66" s="298"/>
      <c r="J66" s="298"/>
      <c r="K66" s="383"/>
      <c r="L66" s="383"/>
      <c r="M66" s="383"/>
      <c r="N66" s="383"/>
      <c r="O66" s="383"/>
      <c r="P66" s="383"/>
      <c r="Q66" s="404"/>
      <c r="R66" s="404"/>
      <c r="S66" s="6"/>
      <c r="T66" s="6"/>
      <c r="U66" s="6"/>
      <c r="V66" s="6"/>
      <c r="W66" s="6"/>
      <c r="X66" s="6"/>
    </row>
    <row r="67" spans="1:31" ht="21">
      <c r="A67" s="2"/>
      <c r="B67" s="400" t="s">
        <v>364</v>
      </c>
      <c r="C67" s="400"/>
      <c r="D67" s="400"/>
      <c r="E67" s="400"/>
      <c r="F67" s="400"/>
      <c r="G67" s="400"/>
      <c r="H67" s="400"/>
      <c r="I67" s="298"/>
      <c r="J67" s="298"/>
      <c r="K67" s="383"/>
      <c r="L67" s="383"/>
      <c r="M67" s="383"/>
      <c r="N67" s="383"/>
      <c r="O67" s="383"/>
      <c r="P67" s="383"/>
      <c r="Q67" s="404"/>
      <c r="R67" s="404"/>
      <c r="S67" s="6"/>
      <c r="T67" s="6"/>
      <c r="U67" s="6"/>
      <c r="V67" s="6"/>
      <c r="W67" s="6"/>
      <c r="X67" s="6"/>
    </row>
    <row r="68" spans="1:31" ht="21">
      <c r="A68" s="4"/>
      <c r="B68" s="400" t="s">
        <v>434</v>
      </c>
      <c r="C68" s="400"/>
      <c r="D68" s="400"/>
      <c r="E68" s="400"/>
      <c r="F68" s="400"/>
      <c r="G68" s="400"/>
      <c r="H68" s="400"/>
      <c r="I68" s="298"/>
      <c r="J68" s="298"/>
      <c r="K68" s="383"/>
      <c r="L68" s="383"/>
      <c r="M68" s="383"/>
      <c r="N68" s="383"/>
      <c r="O68" s="383"/>
      <c r="P68" s="383"/>
      <c r="Q68" s="404"/>
      <c r="R68" s="404"/>
      <c r="S68" s="6"/>
      <c r="T68" s="6"/>
      <c r="U68" s="6"/>
      <c r="V68" s="6"/>
      <c r="W68" s="6"/>
      <c r="X68" s="6"/>
    </row>
    <row r="69" spans="1:31" ht="21">
      <c r="A69" s="5"/>
      <c r="B69" s="400" t="s">
        <v>365</v>
      </c>
      <c r="C69" s="400"/>
      <c r="D69" s="400"/>
      <c r="E69" s="400"/>
      <c r="F69" s="400"/>
      <c r="G69" s="400"/>
      <c r="H69" s="400"/>
      <c r="I69" s="298"/>
      <c r="J69" s="298"/>
      <c r="K69" s="383"/>
      <c r="L69" s="383"/>
      <c r="M69" s="383"/>
      <c r="N69" s="383"/>
      <c r="O69" s="383"/>
      <c r="P69" s="383"/>
      <c r="Q69" s="404"/>
      <c r="R69" s="404"/>
      <c r="S69" s="6"/>
      <c r="T69" s="6"/>
      <c r="U69" s="6"/>
      <c r="V69" s="6"/>
      <c r="W69" s="6"/>
      <c r="X69" s="6"/>
    </row>
    <row r="70" spans="1:31" ht="18.75">
      <c r="B70" s="400" t="s">
        <v>366</v>
      </c>
      <c r="C70" s="400"/>
      <c r="D70" s="400"/>
      <c r="E70" s="400"/>
      <c r="F70" s="400"/>
      <c r="G70" s="400"/>
      <c r="H70" s="400"/>
      <c r="I70" s="298"/>
      <c r="J70" s="298"/>
      <c r="K70" s="383"/>
      <c r="L70" s="383"/>
      <c r="M70" s="383"/>
      <c r="N70" s="383"/>
      <c r="O70" s="383"/>
      <c r="P70" s="383"/>
      <c r="Q70" s="383"/>
      <c r="R70" s="383"/>
    </row>
    <row r="71" spans="1:31" s="293" customFormat="1" ht="18.75">
      <c r="B71" s="400" t="s">
        <v>469</v>
      </c>
      <c r="C71" s="400"/>
      <c r="D71" s="400"/>
      <c r="E71" s="400"/>
      <c r="F71" s="400"/>
      <c r="G71" s="400"/>
      <c r="H71" s="400"/>
      <c r="I71" s="298"/>
      <c r="J71" s="298"/>
      <c r="K71" s="383"/>
      <c r="L71" s="383"/>
      <c r="M71" s="383"/>
      <c r="N71" s="383"/>
      <c r="O71" s="383"/>
      <c r="P71" s="383"/>
      <c r="Q71" s="383"/>
      <c r="R71" s="383"/>
    </row>
    <row r="72" spans="1:31" s="293" customFormat="1" ht="18.75">
      <c r="B72" s="400" t="s">
        <v>490</v>
      </c>
      <c r="C72" s="400"/>
      <c r="D72" s="400"/>
      <c r="E72" s="400"/>
      <c r="F72" s="400"/>
      <c r="G72" s="400"/>
      <c r="H72" s="400"/>
      <c r="I72" s="298"/>
      <c r="J72" s="298"/>
      <c r="K72" s="383"/>
      <c r="L72" s="383"/>
      <c r="M72" s="383"/>
      <c r="N72" s="383"/>
      <c r="O72" s="383"/>
      <c r="P72" s="383"/>
      <c r="Q72" s="383"/>
      <c r="R72" s="383"/>
    </row>
    <row r="73" spans="1:31" ht="18.75">
      <c r="B73" s="400" t="s">
        <v>470</v>
      </c>
      <c r="C73" s="400"/>
      <c r="D73" s="400"/>
      <c r="E73" s="400"/>
      <c r="F73" s="400"/>
      <c r="G73" s="400"/>
      <c r="H73" s="400"/>
      <c r="I73" s="298"/>
      <c r="J73" s="298"/>
      <c r="K73" s="383"/>
      <c r="L73" s="383"/>
      <c r="M73" s="383"/>
      <c r="N73" s="383"/>
      <c r="O73" s="383"/>
      <c r="P73" s="383"/>
      <c r="Q73" s="383"/>
      <c r="R73" s="383"/>
    </row>
    <row r="74" spans="1:31" ht="18.75">
      <c r="B74" s="298" t="s">
        <v>486</v>
      </c>
      <c r="C74" s="400"/>
      <c r="D74" s="400"/>
      <c r="E74" s="400"/>
      <c r="F74" s="400"/>
      <c r="G74" s="400"/>
      <c r="H74" s="400"/>
      <c r="I74" s="298"/>
      <c r="J74" s="298"/>
      <c r="K74" s="383"/>
      <c r="L74" s="383"/>
      <c r="M74" s="383"/>
      <c r="N74" s="383"/>
      <c r="O74" s="383"/>
      <c r="P74" s="383"/>
      <c r="Q74" s="383"/>
      <c r="R74" s="383"/>
    </row>
    <row r="75" spans="1:31" ht="18.75">
      <c r="B75" s="400" t="s">
        <v>445</v>
      </c>
      <c r="C75" s="400"/>
      <c r="D75" s="400"/>
      <c r="E75" s="400"/>
      <c r="F75" s="400"/>
      <c r="G75" s="400"/>
      <c r="H75" s="400"/>
      <c r="I75" s="298"/>
      <c r="J75" s="298"/>
      <c r="K75" s="383"/>
      <c r="L75" s="383"/>
      <c r="M75" s="383"/>
      <c r="N75" s="383"/>
      <c r="O75" s="383"/>
      <c r="P75" s="383"/>
      <c r="Q75" s="383"/>
      <c r="R75" s="383"/>
    </row>
    <row r="76" spans="1:31" ht="18.75">
      <c r="B76" s="400" t="s">
        <v>471</v>
      </c>
      <c r="C76" s="400"/>
      <c r="D76" s="400"/>
      <c r="E76" s="400"/>
      <c r="F76" s="400"/>
      <c r="G76" s="400"/>
      <c r="H76" s="400"/>
      <c r="I76" s="298"/>
      <c r="J76" s="298"/>
      <c r="K76" s="383"/>
      <c r="L76" s="383"/>
      <c r="M76" s="383"/>
      <c r="N76" s="383"/>
      <c r="O76" s="383"/>
      <c r="P76" s="383"/>
      <c r="Q76" s="383"/>
      <c r="R76" s="383"/>
    </row>
    <row r="77" spans="1:31" ht="18.75">
      <c r="B77" s="400" t="s">
        <v>472</v>
      </c>
      <c r="C77" s="400"/>
      <c r="D77" s="400"/>
      <c r="E77" s="400"/>
      <c r="F77" s="400"/>
      <c r="G77" s="400"/>
      <c r="H77" s="400"/>
      <c r="I77" s="298"/>
      <c r="J77" s="298"/>
      <c r="K77" s="383"/>
      <c r="L77" s="383"/>
      <c r="M77" s="383"/>
      <c r="N77" s="383"/>
      <c r="O77" s="383"/>
      <c r="P77" s="383"/>
      <c r="Q77" s="383"/>
      <c r="R77" s="383"/>
    </row>
    <row r="78" spans="1:31" ht="18.75">
      <c r="B78" s="400" t="s">
        <v>473</v>
      </c>
      <c r="C78" s="400"/>
      <c r="D78" s="400"/>
      <c r="E78" s="400"/>
      <c r="F78" s="400"/>
      <c r="G78" s="400"/>
      <c r="H78" s="400"/>
      <c r="I78" s="298"/>
      <c r="J78" s="298"/>
      <c r="K78" s="383"/>
      <c r="L78" s="383"/>
      <c r="M78" s="383"/>
      <c r="N78" s="383"/>
      <c r="O78" s="383"/>
      <c r="P78" s="383"/>
      <c r="Q78" s="383"/>
      <c r="R78" s="383"/>
    </row>
    <row r="79" spans="1:31" ht="18.75">
      <c r="B79" s="400" t="s">
        <v>474</v>
      </c>
      <c r="C79" s="400"/>
      <c r="D79" s="400"/>
      <c r="E79" s="400"/>
      <c r="F79" s="400"/>
      <c r="G79" s="400"/>
      <c r="H79" s="400"/>
      <c r="I79" s="298"/>
      <c r="J79" s="298"/>
      <c r="K79" s="383"/>
      <c r="L79" s="383"/>
      <c r="M79" s="383"/>
      <c r="N79" s="383"/>
      <c r="O79" s="383"/>
      <c r="P79" s="383"/>
      <c r="Q79" s="383"/>
      <c r="R79" s="383"/>
    </row>
    <row r="80" spans="1:31" ht="18.75">
      <c r="B80" s="298" t="s">
        <v>367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Q80" s="383"/>
    </row>
    <row r="81" spans="2:17" ht="18.75">
      <c r="B81" s="298" t="s">
        <v>358</v>
      </c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Q81" s="383"/>
    </row>
    <row r="82" spans="2:17" ht="20.25">
      <c r="B82" s="400" t="s">
        <v>368</v>
      </c>
      <c r="C82" s="383"/>
      <c r="D82" s="383"/>
      <c r="E82" s="383"/>
      <c r="F82" s="383"/>
      <c r="G82" s="346"/>
      <c r="H82" s="383"/>
      <c r="I82" s="383"/>
      <c r="J82" s="383"/>
      <c r="K82" s="383"/>
      <c r="L82" s="383"/>
      <c r="M82" s="383"/>
      <c r="N82" s="383"/>
      <c r="O82" s="383"/>
      <c r="P82" s="383"/>
      <c r="Q82" s="383"/>
    </row>
    <row r="83" spans="2:17" ht="18.75">
      <c r="B83" s="298" t="s">
        <v>369</v>
      </c>
      <c r="C83" s="383"/>
      <c r="D83" s="383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383"/>
      <c r="Q83" s="383"/>
    </row>
    <row r="84" spans="2:17" ht="20.25">
      <c r="B84" s="400" t="s">
        <v>370</v>
      </c>
      <c r="C84" s="383"/>
      <c r="D84" s="383"/>
      <c r="E84" s="383"/>
      <c r="F84" s="383"/>
      <c r="G84" s="346"/>
      <c r="H84" s="383"/>
      <c r="I84" s="383"/>
      <c r="J84" s="383"/>
      <c r="K84" s="383"/>
      <c r="L84" s="383"/>
      <c r="M84" s="383"/>
      <c r="N84" s="383"/>
      <c r="O84" s="383"/>
      <c r="P84" s="383"/>
      <c r="Q84" s="383"/>
    </row>
    <row r="85" spans="2:17" ht="21">
      <c r="B85" s="464"/>
      <c r="C85" s="464"/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464"/>
      <c r="P85" s="464"/>
      <c r="Q85" s="383"/>
    </row>
    <row r="86" spans="2:17" ht="21">
      <c r="B86" s="464"/>
      <c r="C86" s="340" t="s">
        <v>493</v>
      </c>
      <c r="D86" s="340"/>
      <c r="E86" s="340"/>
      <c r="F86" s="340"/>
      <c r="G86" s="464"/>
      <c r="H86" s="464"/>
      <c r="I86" s="464"/>
      <c r="J86" s="464"/>
      <c r="K86" s="464"/>
      <c r="L86" s="464"/>
      <c r="M86" s="464"/>
      <c r="N86" s="464"/>
      <c r="O86" s="464"/>
      <c r="P86" s="464"/>
      <c r="Q86" s="383"/>
    </row>
  </sheetData>
  <mergeCells count="47">
    <mergeCell ref="A43:AE43"/>
    <mergeCell ref="A41:C41"/>
    <mergeCell ref="A40:C40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O8:O9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2:B2"/>
    <mergeCell ref="H2:P2"/>
    <mergeCell ref="A3:B3"/>
    <mergeCell ref="B39:C39"/>
    <mergeCell ref="B38:C38"/>
    <mergeCell ref="B37:C37"/>
    <mergeCell ref="B36:C36"/>
    <mergeCell ref="B35:C35"/>
    <mergeCell ref="B34:C34"/>
    <mergeCell ref="A19:C19"/>
    <mergeCell ref="A25:C25"/>
    <mergeCell ref="A29:C29"/>
    <mergeCell ref="A32:C32"/>
    <mergeCell ref="P8:Q8"/>
    <mergeCell ref="A4:R4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2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124"/>
  <sheetViews>
    <sheetView zoomScale="84" zoomScaleNormal="84" zoomScaleSheetLayoutView="80" workbookViewId="0">
      <pane ySplit="9" topLeftCell="A69" activePane="bottomLeft" state="frozen"/>
      <selection pane="bottomLeft" activeCell="C73" sqref="C73"/>
    </sheetView>
  </sheetViews>
  <sheetFormatPr defaultRowHeight="15"/>
  <cols>
    <col min="1" max="1" width="5.5703125" customWidth="1"/>
    <col min="2" max="2" width="47.42578125" customWidth="1"/>
    <col min="3" max="3" width="25.140625" customWidth="1"/>
    <col min="4" max="4" width="8.7109375" customWidth="1"/>
    <col min="5" max="5" width="11.5703125" customWidth="1"/>
    <col min="6" max="6" width="8.140625" customWidth="1"/>
    <col min="7" max="24" width="7.85546875" customWidth="1"/>
    <col min="25" max="25" width="10.85546875" customWidth="1"/>
    <col min="26" max="29" width="7" customWidth="1"/>
    <col min="30" max="30" width="11.42578125" customWidth="1"/>
    <col min="31" max="31" width="10" customWidth="1"/>
  </cols>
  <sheetData>
    <row r="1" spans="1:75" s="12" customFormat="1" ht="37.5" customHeight="1">
      <c r="A1" s="711" t="s">
        <v>376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1"/>
      <c r="Q1" s="711"/>
      <c r="R1" s="711"/>
      <c r="S1" s="711"/>
      <c r="T1" s="711"/>
      <c r="U1" s="711"/>
      <c r="V1" s="711"/>
      <c r="W1" s="711"/>
      <c r="X1" s="711"/>
      <c r="Y1" s="711"/>
      <c r="Z1" s="711"/>
      <c r="AA1" s="711"/>
      <c r="AB1" s="711"/>
      <c r="AC1" s="711"/>
      <c r="AD1" s="711"/>
      <c r="AE1" s="711"/>
      <c r="AF1" s="43"/>
    </row>
    <row r="2" spans="1:75" s="12" customFormat="1" ht="30" customHeight="1">
      <c r="A2" s="729" t="s">
        <v>566</v>
      </c>
      <c r="B2" s="729"/>
      <c r="C2" s="525" t="s">
        <v>567</v>
      </c>
      <c r="D2" s="526"/>
      <c r="E2" s="527"/>
      <c r="F2" s="527"/>
      <c r="G2" s="527"/>
      <c r="H2" s="730" t="s">
        <v>158</v>
      </c>
      <c r="I2" s="730"/>
      <c r="J2" s="730"/>
      <c r="K2" s="730"/>
      <c r="L2" s="730"/>
      <c r="M2" s="730"/>
      <c r="N2" s="730"/>
      <c r="O2" s="730"/>
      <c r="P2" s="730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9"/>
      <c r="AF2" s="43"/>
    </row>
    <row r="3" spans="1:75" s="12" customFormat="1" ht="40.5" customHeight="1">
      <c r="A3" s="731" t="s">
        <v>568</v>
      </c>
      <c r="B3" s="731"/>
      <c r="C3" s="530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9"/>
      <c r="AF3" s="43"/>
    </row>
    <row r="4" spans="1:75" s="12" customFormat="1" ht="24.75" customHeight="1">
      <c r="A4" s="737" t="s">
        <v>333</v>
      </c>
      <c r="B4" s="737"/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42"/>
    </row>
    <row r="5" spans="1:75" ht="15" customHeight="1">
      <c r="A5" s="714"/>
      <c r="B5" s="715"/>
      <c r="C5" s="715"/>
      <c r="D5" s="715"/>
      <c r="E5" s="715"/>
      <c r="F5" s="716"/>
      <c r="G5" s="712" t="s">
        <v>103</v>
      </c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39"/>
    </row>
    <row r="6" spans="1:75" ht="15" customHeight="1">
      <c r="A6" s="717" t="s">
        <v>0</v>
      </c>
      <c r="B6" s="719" t="s">
        <v>4</v>
      </c>
      <c r="C6" s="719" t="s">
        <v>1</v>
      </c>
      <c r="D6" s="721" t="s">
        <v>8</v>
      </c>
      <c r="E6" s="721"/>
      <c r="F6" s="721"/>
      <c r="G6" s="732" t="s">
        <v>107</v>
      </c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22" t="s">
        <v>5</v>
      </c>
      <c r="Z6" s="722" t="s">
        <v>89</v>
      </c>
      <c r="AA6" s="722" t="s">
        <v>88</v>
      </c>
      <c r="AB6" s="722" t="s">
        <v>94</v>
      </c>
      <c r="AC6" s="722" t="s">
        <v>90</v>
      </c>
      <c r="AD6" s="722" t="s">
        <v>14</v>
      </c>
      <c r="AE6" s="722" t="s">
        <v>6</v>
      </c>
    </row>
    <row r="7" spans="1:75" ht="15" customHeight="1">
      <c r="A7" s="717"/>
      <c r="B7" s="719"/>
      <c r="C7" s="719"/>
      <c r="D7" s="721"/>
      <c r="E7" s="721"/>
      <c r="F7" s="721"/>
      <c r="G7" s="733" t="s">
        <v>101</v>
      </c>
      <c r="H7" s="734"/>
      <c r="I7" s="734"/>
      <c r="J7" s="734"/>
      <c r="K7" s="734"/>
      <c r="L7" s="734"/>
      <c r="M7" s="734"/>
      <c r="N7" s="734"/>
      <c r="O7" s="735"/>
      <c r="P7" s="727" t="s">
        <v>102</v>
      </c>
      <c r="Q7" s="736"/>
      <c r="R7" s="736"/>
      <c r="S7" s="736"/>
      <c r="T7" s="736"/>
      <c r="U7" s="736"/>
      <c r="V7" s="736"/>
      <c r="W7" s="736"/>
      <c r="X7" s="728"/>
      <c r="Y7" s="723"/>
      <c r="Z7" s="723"/>
      <c r="AA7" s="723"/>
      <c r="AB7" s="723"/>
      <c r="AC7" s="723"/>
      <c r="AD7" s="723"/>
      <c r="AE7" s="723"/>
    </row>
    <row r="8" spans="1:75" ht="15" customHeight="1">
      <c r="A8" s="718"/>
      <c r="B8" s="720"/>
      <c r="C8" s="720"/>
      <c r="D8" s="720" t="s">
        <v>2</v>
      </c>
      <c r="E8" s="720" t="s">
        <v>13</v>
      </c>
      <c r="F8" s="720" t="s">
        <v>12</v>
      </c>
      <c r="G8" s="733" t="s">
        <v>334</v>
      </c>
      <c r="H8" s="735"/>
      <c r="I8" s="733" t="s">
        <v>335</v>
      </c>
      <c r="J8" s="735"/>
      <c r="K8" s="733" t="s">
        <v>336</v>
      </c>
      <c r="L8" s="735"/>
      <c r="M8" s="733" t="s">
        <v>337</v>
      </c>
      <c r="N8" s="735"/>
      <c r="O8" s="738" t="s">
        <v>7</v>
      </c>
      <c r="P8" s="727" t="s">
        <v>334</v>
      </c>
      <c r="Q8" s="728"/>
      <c r="R8" s="727" t="s">
        <v>335</v>
      </c>
      <c r="S8" s="728"/>
      <c r="T8" s="727" t="s">
        <v>336</v>
      </c>
      <c r="U8" s="728"/>
      <c r="V8" s="727" t="s">
        <v>337</v>
      </c>
      <c r="W8" s="728"/>
      <c r="X8" s="725" t="s">
        <v>7</v>
      </c>
      <c r="Y8" s="723"/>
      <c r="Z8" s="723"/>
      <c r="AA8" s="723"/>
      <c r="AB8" s="723"/>
      <c r="AC8" s="723"/>
      <c r="AD8" s="723"/>
      <c r="AE8" s="723"/>
    </row>
    <row r="9" spans="1:75" ht="48" customHeight="1">
      <c r="A9" s="718"/>
      <c r="B9" s="720"/>
      <c r="C9" s="720"/>
      <c r="D9" s="724"/>
      <c r="E9" s="724"/>
      <c r="F9" s="724"/>
      <c r="G9" s="532" t="s">
        <v>15</v>
      </c>
      <c r="H9" s="532" t="s">
        <v>16</v>
      </c>
      <c r="I9" s="532" t="s">
        <v>15</v>
      </c>
      <c r="J9" s="532" t="s">
        <v>16</v>
      </c>
      <c r="K9" s="532" t="s">
        <v>15</v>
      </c>
      <c r="L9" s="532" t="s">
        <v>16</v>
      </c>
      <c r="M9" s="532" t="s">
        <v>15</v>
      </c>
      <c r="N9" s="532" t="s">
        <v>16</v>
      </c>
      <c r="O9" s="739"/>
      <c r="P9" s="533" t="s">
        <v>15</v>
      </c>
      <c r="Q9" s="533" t="s">
        <v>16</v>
      </c>
      <c r="R9" s="533" t="s">
        <v>15</v>
      </c>
      <c r="S9" s="533" t="s">
        <v>16</v>
      </c>
      <c r="T9" s="533" t="s">
        <v>15</v>
      </c>
      <c r="U9" s="533" t="s">
        <v>16</v>
      </c>
      <c r="V9" s="533" t="s">
        <v>15</v>
      </c>
      <c r="W9" s="533" t="s">
        <v>16</v>
      </c>
      <c r="X9" s="726"/>
      <c r="Y9" s="723"/>
      <c r="Z9" s="723"/>
      <c r="AA9" s="723"/>
      <c r="AB9" s="723"/>
      <c r="AC9" s="723"/>
      <c r="AD9" s="723"/>
      <c r="AE9" s="723"/>
    </row>
    <row r="10" spans="1:75" ht="15.75">
      <c r="A10" s="534" t="s">
        <v>380</v>
      </c>
      <c r="B10" s="535"/>
      <c r="C10" s="536"/>
      <c r="D10" s="535"/>
      <c r="E10" s="535"/>
      <c r="F10" s="535"/>
      <c r="G10" s="537"/>
      <c r="H10" s="537"/>
      <c r="I10" s="537"/>
      <c r="J10" s="537"/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  <c r="AB10" s="537"/>
      <c r="AC10" s="537"/>
      <c r="AD10" s="537"/>
      <c r="AE10" s="538"/>
    </row>
    <row r="11" spans="1:75" s="277" customFormat="1" ht="40.5" customHeight="1">
      <c r="A11" s="539">
        <v>2.8</v>
      </c>
      <c r="B11" s="540" t="s">
        <v>310</v>
      </c>
      <c r="C11" s="541" t="s">
        <v>324</v>
      </c>
      <c r="D11" s="542"/>
      <c r="E11" s="543">
        <v>9</v>
      </c>
      <c r="F11" s="542"/>
      <c r="G11" s="544">
        <v>10</v>
      </c>
      <c r="H11" s="544">
        <v>5</v>
      </c>
      <c r="I11" s="544">
        <v>10</v>
      </c>
      <c r="J11" s="544"/>
      <c r="K11" s="545"/>
      <c r="L11" s="546"/>
      <c r="M11" s="546"/>
      <c r="N11" s="546"/>
      <c r="O11" s="546">
        <v>1</v>
      </c>
      <c r="P11" s="547"/>
      <c r="Q11" s="547"/>
      <c r="R11" s="547"/>
      <c r="S11" s="547"/>
      <c r="T11" s="547"/>
      <c r="U11" s="547"/>
      <c r="V11" s="547"/>
      <c r="W11" s="547"/>
      <c r="X11" s="547"/>
      <c r="Y11" s="548">
        <f>SUM(Z11:AC11)</f>
        <v>20</v>
      </c>
      <c r="Z11" s="548">
        <f>G11+P11</f>
        <v>10</v>
      </c>
      <c r="AA11" s="548">
        <f>I11+R11</f>
        <v>10</v>
      </c>
      <c r="AB11" s="548">
        <f>K11+T11</f>
        <v>0</v>
      </c>
      <c r="AC11" s="548">
        <f>M11+V11</f>
        <v>0</v>
      </c>
      <c r="AD11" s="548">
        <f>SUM(G11:N11,P11:W11)</f>
        <v>25</v>
      </c>
      <c r="AE11" s="548">
        <f>O11+X11</f>
        <v>1</v>
      </c>
    </row>
    <row r="12" spans="1:75" s="278" customFormat="1" ht="21" customHeight="1">
      <c r="A12" s="695" t="s">
        <v>9</v>
      </c>
      <c r="B12" s="696"/>
      <c r="C12" s="696"/>
      <c r="D12" s="696"/>
      <c r="E12" s="696"/>
      <c r="F12" s="697"/>
      <c r="G12" s="549">
        <f t="shared" ref="G12:AE12" si="0">SUM(G11)</f>
        <v>10</v>
      </c>
      <c r="H12" s="549">
        <f t="shared" si="0"/>
        <v>5</v>
      </c>
      <c r="I12" s="549">
        <f t="shared" si="0"/>
        <v>10</v>
      </c>
      <c r="J12" s="549">
        <f t="shared" si="0"/>
        <v>0</v>
      </c>
      <c r="K12" s="550">
        <f t="shared" si="0"/>
        <v>0</v>
      </c>
      <c r="L12" s="551">
        <f t="shared" si="0"/>
        <v>0</v>
      </c>
      <c r="M12" s="551">
        <f t="shared" si="0"/>
        <v>0</v>
      </c>
      <c r="N12" s="551">
        <f t="shared" si="0"/>
        <v>0</v>
      </c>
      <c r="O12" s="551">
        <f t="shared" si="0"/>
        <v>1</v>
      </c>
      <c r="P12" s="551">
        <f t="shared" si="0"/>
        <v>0</v>
      </c>
      <c r="Q12" s="551">
        <f t="shared" si="0"/>
        <v>0</v>
      </c>
      <c r="R12" s="551">
        <f t="shared" si="0"/>
        <v>0</v>
      </c>
      <c r="S12" s="551">
        <f t="shared" si="0"/>
        <v>0</v>
      </c>
      <c r="T12" s="551">
        <f t="shared" si="0"/>
        <v>0</v>
      </c>
      <c r="U12" s="551">
        <f t="shared" si="0"/>
        <v>0</v>
      </c>
      <c r="V12" s="551">
        <f t="shared" si="0"/>
        <v>0</v>
      </c>
      <c r="W12" s="551">
        <f t="shared" si="0"/>
        <v>0</v>
      </c>
      <c r="X12" s="551">
        <f t="shared" si="0"/>
        <v>0</v>
      </c>
      <c r="Y12" s="551">
        <f t="shared" si="0"/>
        <v>20</v>
      </c>
      <c r="Z12" s="551">
        <f t="shared" si="0"/>
        <v>10</v>
      </c>
      <c r="AA12" s="551">
        <f t="shared" si="0"/>
        <v>10</v>
      </c>
      <c r="AB12" s="551">
        <f t="shared" si="0"/>
        <v>0</v>
      </c>
      <c r="AC12" s="551">
        <f t="shared" si="0"/>
        <v>0</v>
      </c>
      <c r="AD12" s="552">
        <f t="shared" si="0"/>
        <v>25</v>
      </c>
      <c r="AE12" s="551">
        <f t="shared" si="0"/>
        <v>1</v>
      </c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79"/>
      <c r="BG12" s="279"/>
      <c r="BH12" s="279"/>
      <c r="BI12" s="279"/>
      <c r="BJ12" s="279"/>
      <c r="BK12" s="279"/>
      <c r="BL12" s="279"/>
      <c r="BM12" s="279"/>
      <c r="BN12" s="279"/>
      <c r="BO12" s="279"/>
      <c r="BP12" s="279"/>
      <c r="BQ12" s="279"/>
      <c r="BR12" s="279"/>
      <c r="BS12" s="279"/>
      <c r="BT12" s="279"/>
      <c r="BU12" s="279"/>
      <c r="BV12" s="279"/>
      <c r="BW12" s="279"/>
    </row>
    <row r="13" spans="1:75" ht="15.75">
      <c r="A13" s="553" t="s">
        <v>393</v>
      </c>
      <c r="B13" s="535"/>
      <c r="C13" s="536"/>
      <c r="D13" s="535"/>
      <c r="E13" s="535"/>
      <c r="F13" s="535"/>
      <c r="G13" s="537"/>
      <c r="H13" s="537"/>
      <c r="I13" s="537"/>
      <c r="J13" s="537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537"/>
      <c r="X13" s="537"/>
      <c r="Y13" s="537"/>
      <c r="Z13" s="537"/>
      <c r="AA13" s="537"/>
      <c r="AB13" s="537"/>
      <c r="AC13" s="537"/>
      <c r="AD13" s="537"/>
      <c r="AE13" s="537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</row>
    <row r="14" spans="1:75" ht="27.75" customHeight="1">
      <c r="A14" s="554">
        <v>5.0999999999999996</v>
      </c>
      <c r="B14" s="555" t="s">
        <v>51</v>
      </c>
      <c r="C14" s="507" t="s">
        <v>321</v>
      </c>
      <c r="D14" s="522">
        <v>11</v>
      </c>
      <c r="E14" s="524" t="s">
        <v>427</v>
      </c>
      <c r="F14" s="508"/>
      <c r="G14" s="506">
        <v>15</v>
      </c>
      <c r="H14" s="506">
        <v>10</v>
      </c>
      <c r="I14" s="506">
        <v>10</v>
      </c>
      <c r="J14" s="506">
        <v>0</v>
      </c>
      <c r="K14" s="506">
        <v>15</v>
      </c>
      <c r="L14" s="506"/>
      <c r="M14" s="506"/>
      <c r="N14" s="506"/>
      <c r="O14" s="506">
        <v>2</v>
      </c>
      <c r="P14" s="503">
        <v>15</v>
      </c>
      <c r="Q14" s="503">
        <v>10</v>
      </c>
      <c r="R14" s="503">
        <v>10</v>
      </c>
      <c r="S14" s="503">
        <v>0</v>
      </c>
      <c r="T14" s="503">
        <v>15</v>
      </c>
      <c r="U14" s="503"/>
      <c r="V14" s="503"/>
      <c r="W14" s="503"/>
      <c r="X14" s="503">
        <v>2</v>
      </c>
      <c r="Y14" s="502">
        <f>SUM(Z14:AC14)</f>
        <v>80</v>
      </c>
      <c r="Z14" s="502">
        <f>G14+P14</f>
        <v>30</v>
      </c>
      <c r="AA14" s="502">
        <f>I14+R14</f>
        <v>20</v>
      </c>
      <c r="AB14" s="502">
        <f>K14+T14</f>
        <v>30</v>
      </c>
      <c r="AC14" s="502">
        <f>M14+V14</f>
        <v>0</v>
      </c>
      <c r="AD14" s="502">
        <f>SUM(G14:N14,P14:W14)</f>
        <v>100</v>
      </c>
      <c r="AE14" s="502">
        <f>O14+X14</f>
        <v>4</v>
      </c>
    </row>
    <row r="15" spans="1:75" ht="27.75" customHeight="1">
      <c r="A15" s="554">
        <v>5.2</v>
      </c>
      <c r="B15" s="555" t="s">
        <v>80</v>
      </c>
      <c r="C15" s="507" t="s">
        <v>322</v>
      </c>
      <c r="D15" s="522">
        <v>11</v>
      </c>
      <c r="E15" s="524" t="s">
        <v>502</v>
      </c>
      <c r="F15" s="508"/>
      <c r="G15" s="506"/>
      <c r="H15" s="506"/>
      <c r="I15" s="506"/>
      <c r="J15" s="506"/>
      <c r="K15" s="506"/>
      <c r="L15" s="506"/>
      <c r="M15" s="506"/>
      <c r="N15" s="506"/>
      <c r="O15" s="506"/>
      <c r="P15" s="503">
        <v>15</v>
      </c>
      <c r="Q15" s="503">
        <v>10</v>
      </c>
      <c r="R15" s="503">
        <v>10</v>
      </c>
      <c r="S15" s="503">
        <v>0</v>
      </c>
      <c r="T15" s="503">
        <v>15</v>
      </c>
      <c r="U15" s="503"/>
      <c r="V15" s="503"/>
      <c r="W15" s="503"/>
      <c r="X15" s="503">
        <v>2</v>
      </c>
      <c r="Y15" s="502">
        <f>SUM(Z15:AC15)</f>
        <v>40</v>
      </c>
      <c r="Z15" s="502">
        <f>G15+P15</f>
        <v>15</v>
      </c>
      <c r="AA15" s="502">
        <f>I15+R15</f>
        <v>10</v>
      </c>
      <c r="AB15" s="502">
        <f>K15+T15</f>
        <v>15</v>
      </c>
      <c r="AC15" s="502">
        <f>M15+V15</f>
        <v>0</v>
      </c>
      <c r="AD15" s="502">
        <f>SUM(G15:N15,P15:W15)</f>
        <v>50</v>
      </c>
      <c r="AE15" s="502">
        <f>O15+X15</f>
        <v>2</v>
      </c>
    </row>
    <row r="16" spans="1:75" ht="27.75" customHeight="1">
      <c r="A16" s="556">
        <v>5.3</v>
      </c>
      <c r="B16" s="540" t="s">
        <v>52</v>
      </c>
      <c r="C16" s="507" t="str">
        <f>RAZEM!C37</f>
        <v>0912-7LEK-C5,3-G</v>
      </c>
      <c r="D16" s="522">
        <v>10</v>
      </c>
      <c r="E16" s="508">
        <v>10</v>
      </c>
      <c r="F16" s="508"/>
      <c r="G16" s="506"/>
      <c r="H16" s="506"/>
      <c r="I16" s="506"/>
      <c r="J16" s="506"/>
      <c r="K16" s="506"/>
      <c r="L16" s="506"/>
      <c r="M16" s="506"/>
      <c r="N16" s="506"/>
      <c r="O16" s="506"/>
      <c r="P16" s="503">
        <v>15</v>
      </c>
      <c r="Q16" s="503">
        <v>10</v>
      </c>
      <c r="R16" s="503">
        <v>20</v>
      </c>
      <c r="S16" s="503">
        <v>15</v>
      </c>
      <c r="T16" s="503">
        <v>15</v>
      </c>
      <c r="U16" s="503"/>
      <c r="V16" s="503"/>
      <c r="W16" s="503"/>
      <c r="X16" s="503">
        <v>3</v>
      </c>
      <c r="Y16" s="502">
        <f>SUM(Z16:AC16)</f>
        <v>50</v>
      </c>
      <c r="Z16" s="502">
        <f>SUM(G16,P16)</f>
        <v>15</v>
      </c>
      <c r="AA16" s="502">
        <f>SUM(I16,R16)</f>
        <v>20</v>
      </c>
      <c r="AB16" s="502">
        <f>SUM(K16,T16)</f>
        <v>15</v>
      </c>
      <c r="AC16" s="502">
        <f>SUM(M16,V16)</f>
        <v>0</v>
      </c>
      <c r="AD16" s="502">
        <f>SUM(G16:N16,P16:W16)</f>
        <v>75</v>
      </c>
      <c r="AE16" s="502">
        <f>SUM(O16,X16)</f>
        <v>3</v>
      </c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</row>
    <row r="17" spans="1:31" ht="27.75" customHeight="1">
      <c r="A17" s="556">
        <v>5.7</v>
      </c>
      <c r="B17" s="540" t="s">
        <v>56</v>
      </c>
      <c r="C17" s="507" t="str">
        <f>RAZEM!C41</f>
        <v>0912-7LEK-C5,7-MR</v>
      </c>
      <c r="D17" s="522">
        <v>12</v>
      </c>
      <c r="E17" s="508">
        <v>9</v>
      </c>
      <c r="F17" s="508"/>
      <c r="G17" s="506">
        <v>15</v>
      </c>
      <c r="H17" s="506">
        <v>10</v>
      </c>
      <c r="I17" s="506">
        <v>25</v>
      </c>
      <c r="J17" s="506">
        <v>35</v>
      </c>
      <c r="K17" s="506">
        <v>15</v>
      </c>
      <c r="L17" s="506"/>
      <c r="M17" s="506"/>
      <c r="N17" s="506"/>
      <c r="O17" s="506">
        <v>4</v>
      </c>
      <c r="P17" s="503"/>
      <c r="Q17" s="503"/>
      <c r="R17" s="503"/>
      <c r="S17" s="503"/>
      <c r="T17" s="503"/>
      <c r="U17" s="503"/>
      <c r="V17" s="503"/>
      <c r="W17" s="503"/>
      <c r="X17" s="503"/>
      <c r="Y17" s="502">
        <f>SUM(Z17:AC17)</f>
        <v>55</v>
      </c>
      <c r="Z17" s="502">
        <f>SUM(G17,P17)</f>
        <v>15</v>
      </c>
      <c r="AA17" s="502">
        <f>SUM(I17,R17)</f>
        <v>25</v>
      </c>
      <c r="AB17" s="502">
        <f>SUM(K17,T17)</f>
        <v>15</v>
      </c>
      <c r="AC17" s="502">
        <f>SUM(M17,V17)</f>
        <v>0</v>
      </c>
      <c r="AD17" s="502">
        <f>SUM(G17:N17,P17:W17)</f>
        <v>100</v>
      </c>
      <c r="AE17" s="502">
        <f>SUM(O17,X17)</f>
        <v>4</v>
      </c>
    </row>
    <row r="18" spans="1:31" ht="21.75" customHeight="1">
      <c r="A18" s="701" t="s">
        <v>9</v>
      </c>
      <c r="B18" s="702"/>
      <c r="C18" s="702"/>
      <c r="D18" s="702"/>
      <c r="E18" s="702"/>
      <c r="F18" s="703"/>
      <c r="G18" s="551">
        <f t="shared" ref="G18:AE18" si="1">SUM(G14:G17)</f>
        <v>30</v>
      </c>
      <c r="H18" s="551">
        <f t="shared" si="1"/>
        <v>20</v>
      </c>
      <c r="I18" s="551">
        <f t="shared" si="1"/>
        <v>35</v>
      </c>
      <c r="J18" s="551">
        <f t="shared" si="1"/>
        <v>35</v>
      </c>
      <c r="K18" s="551">
        <f t="shared" si="1"/>
        <v>30</v>
      </c>
      <c r="L18" s="551">
        <f t="shared" si="1"/>
        <v>0</v>
      </c>
      <c r="M18" s="551">
        <f t="shared" si="1"/>
        <v>0</v>
      </c>
      <c r="N18" s="551">
        <f t="shared" si="1"/>
        <v>0</v>
      </c>
      <c r="O18" s="551">
        <f t="shared" si="1"/>
        <v>6</v>
      </c>
      <c r="P18" s="551">
        <f t="shared" si="1"/>
        <v>45</v>
      </c>
      <c r="Q18" s="551">
        <f t="shared" si="1"/>
        <v>30</v>
      </c>
      <c r="R18" s="551">
        <f t="shared" si="1"/>
        <v>40</v>
      </c>
      <c r="S18" s="551">
        <f t="shared" si="1"/>
        <v>15</v>
      </c>
      <c r="T18" s="551">
        <f t="shared" si="1"/>
        <v>45</v>
      </c>
      <c r="U18" s="551">
        <f t="shared" si="1"/>
        <v>0</v>
      </c>
      <c r="V18" s="551">
        <f t="shared" si="1"/>
        <v>0</v>
      </c>
      <c r="W18" s="551">
        <f t="shared" si="1"/>
        <v>0</v>
      </c>
      <c r="X18" s="551">
        <f t="shared" si="1"/>
        <v>7</v>
      </c>
      <c r="Y18" s="551">
        <f t="shared" si="1"/>
        <v>225</v>
      </c>
      <c r="Z18" s="551">
        <f t="shared" si="1"/>
        <v>75</v>
      </c>
      <c r="AA18" s="551">
        <f t="shared" si="1"/>
        <v>75</v>
      </c>
      <c r="AB18" s="551">
        <f t="shared" si="1"/>
        <v>75</v>
      </c>
      <c r="AC18" s="551">
        <f t="shared" si="1"/>
        <v>0</v>
      </c>
      <c r="AD18" s="551">
        <f t="shared" si="1"/>
        <v>325</v>
      </c>
      <c r="AE18" s="551">
        <f t="shared" si="1"/>
        <v>13</v>
      </c>
    </row>
    <row r="19" spans="1:31" ht="20.25" customHeight="1">
      <c r="A19" s="534" t="s">
        <v>394</v>
      </c>
      <c r="B19" s="557"/>
      <c r="C19" s="558"/>
      <c r="D19" s="557"/>
      <c r="E19" s="557"/>
      <c r="F19" s="557"/>
      <c r="G19" s="559"/>
      <c r="H19" s="559"/>
      <c r="I19" s="559"/>
      <c r="J19" s="559"/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  <c r="AB19" s="559"/>
      <c r="AC19" s="559"/>
      <c r="AD19" s="559"/>
      <c r="AE19" s="560"/>
    </row>
    <row r="20" spans="1:31" ht="32.25" customHeight="1">
      <c r="A20" s="556">
        <v>6.2</v>
      </c>
      <c r="B20" s="540" t="s">
        <v>63</v>
      </c>
      <c r="C20" s="507" t="str">
        <f>"0912-7LEK-C"&amp;A20&amp;"-"&amp;UPPER(LEFT(B20,1))</f>
        <v>0912-7LEK-C6,2-C</v>
      </c>
      <c r="D20" s="522">
        <v>12</v>
      </c>
      <c r="E20" s="524" t="s">
        <v>426</v>
      </c>
      <c r="F20" s="508"/>
      <c r="G20" s="506">
        <v>15</v>
      </c>
      <c r="H20" s="506">
        <v>10</v>
      </c>
      <c r="I20" s="506">
        <v>15</v>
      </c>
      <c r="J20" s="506">
        <v>10</v>
      </c>
      <c r="K20" s="506">
        <v>25</v>
      </c>
      <c r="L20" s="506"/>
      <c r="M20" s="506"/>
      <c r="N20" s="506"/>
      <c r="O20" s="506">
        <v>3</v>
      </c>
      <c r="P20" s="503">
        <v>15</v>
      </c>
      <c r="Q20" s="503">
        <v>10</v>
      </c>
      <c r="R20" s="503">
        <v>15</v>
      </c>
      <c r="S20" s="503">
        <v>10</v>
      </c>
      <c r="T20" s="503">
        <v>25</v>
      </c>
      <c r="U20" s="503"/>
      <c r="V20" s="503"/>
      <c r="W20" s="503"/>
      <c r="X20" s="503">
        <v>3</v>
      </c>
      <c r="Y20" s="502">
        <f t="shared" ref="Y20:Y29" si="2">SUM(Z20:AC20)</f>
        <v>110</v>
      </c>
      <c r="Z20" s="502">
        <f t="shared" ref="Z20:Z29" si="3">SUM(G20,P20)</f>
        <v>30</v>
      </c>
      <c r="AA20" s="502">
        <f t="shared" ref="AA20:AA29" si="4">SUM(I20,R20)</f>
        <v>30</v>
      </c>
      <c r="AB20" s="502">
        <f t="shared" ref="AB20:AB29" si="5">SUM(K20,T20)</f>
        <v>50</v>
      </c>
      <c r="AC20" s="502">
        <f t="shared" ref="AC20:AC29" si="6">SUM(M20,V20)</f>
        <v>0</v>
      </c>
      <c r="AD20" s="502">
        <f t="shared" ref="AD20:AD29" si="7">SUM(G20:N20,P20:W20)</f>
        <v>150</v>
      </c>
      <c r="AE20" s="502">
        <f t="shared" ref="AE20:AE29" si="8">SUM(O20,X20)</f>
        <v>6</v>
      </c>
    </row>
    <row r="21" spans="1:31" ht="32.25" customHeight="1">
      <c r="A21" s="556">
        <v>6.3</v>
      </c>
      <c r="B21" s="540" t="s">
        <v>64</v>
      </c>
      <c r="C21" s="507" t="str">
        <f>RAZEM!C51</f>
        <v>0912-7LEK-C6,3-CD</v>
      </c>
      <c r="D21" s="522">
        <v>9</v>
      </c>
      <c r="E21" s="508">
        <v>9</v>
      </c>
      <c r="F21" s="508"/>
      <c r="G21" s="506">
        <v>15</v>
      </c>
      <c r="H21" s="506">
        <v>10</v>
      </c>
      <c r="I21" s="506">
        <v>15</v>
      </c>
      <c r="J21" s="506">
        <v>10</v>
      </c>
      <c r="K21" s="506">
        <v>25</v>
      </c>
      <c r="L21" s="506"/>
      <c r="M21" s="506"/>
      <c r="N21" s="506"/>
      <c r="O21" s="506">
        <v>3</v>
      </c>
      <c r="P21" s="503"/>
      <c r="Q21" s="503"/>
      <c r="R21" s="503"/>
      <c r="S21" s="503"/>
      <c r="T21" s="503"/>
      <c r="U21" s="503"/>
      <c r="V21" s="503"/>
      <c r="W21" s="503"/>
      <c r="X21" s="503"/>
      <c r="Y21" s="502">
        <f t="shared" si="2"/>
        <v>55</v>
      </c>
      <c r="Z21" s="502">
        <f t="shared" si="3"/>
        <v>15</v>
      </c>
      <c r="AA21" s="502">
        <f t="shared" si="4"/>
        <v>15</v>
      </c>
      <c r="AB21" s="502">
        <f t="shared" si="5"/>
        <v>25</v>
      </c>
      <c r="AC21" s="502">
        <f t="shared" si="6"/>
        <v>0</v>
      </c>
      <c r="AD21" s="502">
        <f t="shared" si="7"/>
        <v>75</v>
      </c>
      <c r="AE21" s="502">
        <f t="shared" si="8"/>
        <v>3</v>
      </c>
    </row>
    <row r="22" spans="1:31" ht="32.25" customHeight="1">
      <c r="A22" s="556">
        <v>6.4</v>
      </c>
      <c r="B22" s="540" t="s">
        <v>65</v>
      </c>
      <c r="C22" s="507" t="str">
        <f>RAZEM!C52</f>
        <v>0912-7LEK-C6,4-OiT</v>
      </c>
      <c r="D22" s="522">
        <v>9</v>
      </c>
      <c r="E22" s="508">
        <v>9</v>
      </c>
      <c r="F22" s="508"/>
      <c r="G22" s="506">
        <v>15</v>
      </c>
      <c r="H22" s="506">
        <v>10</v>
      </c>
      <c r="I22" s="506">
        <v>15</v>
      </c>
      <c r="J22" s="506">
        <v>10</v>
      </c>
      <c r="K22" s="506">
        <v>25</v>
      </c>
      <c r="L22" s="506"/>
      <c r="M22" s="506"/>
      <c r="N22" s="506"/>
      <c r="O22" s="506">
        <v>3</v>
      </c>
      <c r="P22" s="503"/>
      <c r="Q22" s="503"/>
      <c r="R22" s="503"/>
      <c r="S22" s="503"/>
      <c r="T22" s="503"/>
      <c r="U22" s="503"/>
      <c r="V22" s="503"/>
      <c r="W22" s="503"/>
      <c r="X22" s="503"/>
      <c r="Y22" s="502">
        <f t="shared" si="2"/>
        <v>55</v>
      </c>
      <c r="Z22" s="502">
        <f t="shared" si="3"/>
        <v>15</v>
      </c>
      <c r="AA22" s="502">
        <f t="shared" si="4"/>
        <v>15</v>
      </c>
      <c r="AB22" s="502">
        <f t="shared" si="5"/>
        <v>25</v>
      </c>
      <c r="AC22" s="502">
        <f t="shared" si="6"/>
        <v>0</v>
      </c>
      <c r="AD22" s="502">
        <f t="shared" si="7"/>
        <v>75</v>
      </c>
      <c r="AE22" s="502">
        <f t="shared" si="8"/>
        <v>3</v>
      </c>
    </row>
    <row r="23" spans="1:31" ht="32.25" customHeight="1">
      <c r="A23" s="556">
        <v>6.5</v>
      </c>
      <c r="B23" s="540" t="s">
        <v>66</v>
      </c>
      <c r="C23" s="507" t="str">
        <f t="shared" ref="C23:C29" si="9">"0912-7LEK-C"&amp;A23&amp;"-"&amp;UPPER(LEFT(B23,1))</f>
        <v>0912-7LEK-C6,5-C</v>
      </c>
      <c r="D23" s="522">
        <v>10</v>
      </c>
      <c r="E23" s="508">
        <v>10</v>
      </c>
      <c r="F23" s="508"/>
      <c r="G23" s="506"/>
      <c r="H23" s="506"/>
      <c r="I23" s="506"/>
      <c r="J23" s="506"/>
      <c r="K23" s="506"/>
      <c r="L23" s="506"/>
      <c r="M23" s="506"/>
      <c r="N23" s="506"/>
      <c r="O23" s="506"/>
      <c r="P23" s="503">
        <v>15</v>
      </c>
      <c r="Q23" s="503">
        <v>5</v>
      </c>
      <c r="R23" s="503">
        <v>10</v>
      </c>
      <c r="S23" s="503"/>
      <c r="T23" s="503">
        <v>20</v>
      </c>
      <c r="U23" s="503"/>
      <c r="V23" s="503"/>
      <c r="W23" s="503"/>
      <c r="X23" s="503">
        <v>2</v>
      </c>
      <c r="Y23" s="502">
        <f t="shared" si="2"/>
        <v>45</v>
      </c>
      <c r="Z23" s="502">
        <f t="shared" si="3"/>
        <v>15</v>
      </c>
      <c r="AA23" s="502">
        <f t="shared" si="4"/>
        <v>10</v>
      </c>
      <c r="AB23" s="502">
        <f t="shared" si="5"/>
        <v>20</v>
      </c>
      <c r="AC23" s="502">
        <f t="shared" si="6"/>
        <v>0</v>
      </c>
      <c r="AD23" s="502">
        <f t="shared" si="7"/>
        <v>50</v>
      </c>
      <c r="AE23" s="502">
        <f t="shared" si="8"/>
        <v>2</v>
      </c>
    </row>
    <row r="24" spans="1:31" ht="32.25" customHeight="1">
      <c r="A24" s="556">
        <v>6.6</v>
      </c>
      <c r="B24" s="555" t="s">
        <v>67</v>
      </c>
      <c r="C24" s="507" t="str">
        <f t="shared" si="9"/>
        <v>0912-7LEK-C6,6-U</v>
      </c>
      <c r="D24" s="522">
        <v>10</v>
      </c>
      <c r="E24" s="508">
        <v>10</v>
      </c>
      <c r="F24" s="508"/>
      <c r="G24" s="506"/>
      <c r="H24" s="506"/>
      <c r="I24" s="506"/>
      <c r="J24" s="506"/>
      <c r="K24" s="506"/>
      <c r="L24" s="506"/>
      <c r="M24" s="506"/>
      <c r="N24" s="506"/>
      <c r="O24" s="506"/>
      <c r="P24" s="503">
        <v>15</v>
      </c>
      <c r="Q24" s="503">
        <v>10</v>
      </c>
      <c r="R24" s="503">
        <v>15</v>
      </c>
      <c r="S24" s="503">
        <v>20</v>
      </c>
      <c r="T24" s="503">
        <v>15</v>
      </c>
      <c r="U24" s="503"/>
      <c r="V24" s="503"/>
      <c r="W24" s="503"/>
      <c r="X24" s="503">
        <v>3</v>
      </c>
      <c r="Y24" s="502">
        <f t="shared" si="2"/>
        <v>45</v>
      </c>
      <c r="Z24" s="502">
        <f t="shared" si="3"/>
        <v>15</v>
      </c>
      <c r="AA24" s="502">
        <f t="shared" si="4"/>
        <v>15</v>
      </c>
      <c r="AB24" s="502">
        <f t="shared" si="5"/>
        <v>15</v>
      </c>
      <c r="AC24" s="502">
        <f t="shared" si="6"/>
        <v>0</v>
      </c>
      <c r="AD24" s="502">
        <f t="shared" si="7"/>
        <v>75</v>
      </c>
      <c r="AE24" s="502">
        <f t="shared" si="8"/>
        <v>3</v>
      </c>
    </row>
    <row r="25" spans="1:31" ht="32.25" customHeight="1">
      <c r="A25" s="556">
        <v>6.7</v>
      </c>
      <c r="B25" s="555" t="s">
        <v>68</v>
      </c>
      <c r="C25" s="507" t="str">
        <f t="shared" si="9"/>
        <v>0912-7LEK-C6,7-O</v>
      </c>
      <c r="D25" s="522">
        <v>9</v>
      </c>
      <c r="E25" s="508">
        <v>9</v>
      </c>
      <c r="F25" s="508"/>
      <c r="G25" s="506">
        <v>15</v>
      </c>
      <c r="H25" s="506">
        <v>10</v>
      </c>
      <c r="I25" s="506">
        <v>15</v>
      </c>
      <c r="J25" s="506">
        <v>20</v>
      </c>
      <c r="K25" s="506">
        <v>15</v>
      </c>
      <c r="L25" s="506"/>
      <c r="M25" s="506"/>
      <c r="N25" s="506"/>
      <c r="O25" s="506">
        <v>3</v>
      </c>
      <c r="P25" s="503"/>
      <c r="Q25" s="503"/>
      <c r="R25" s="503"/>
      <c r="S25" s="503"/>
      <c r="T25" s="503"/>
      <c r="U25" s="503"/>
      <c r="V25" s="503"/>
      <c r="W25" s="503"/>
      <c r="X25" s="503"/>
      <c r="Y25" s="502">
        <f t="shared" si="2"/>
        <v>45</v>
      </c>
      <c r="Z25" s="502">
        <f t="shared" si="3"/>
        <v>15</v>
      </c>
      <c r="AA25" s="502">
        <f t="shared" si="4"/>
        <v>15</v>
      </c>
      <c r="AB25" s="502">
        <f t="shared" si="5"/>
        <v>15</v>
      </c>
      <c r="AC25" s="502">
        <f t="shared" si="6"/>
        <v>0</v>
      </c>
      <c r="AD25" s="502">
        <f t="shared" si="7"/>
        <v>75</v>
      </c>
      <c r="AE25" s="502">
        <f t="shared" si="8"/>
        <v>3</v>
      </c>
    </row>
    <row r="26" spans="1:31" ht="32.25" customHeight="1">
      <c r="A26" s="556">
        <v>6.8</v>
      </c>
      <c r="B26" s="555" t="s">
        <v>69</v>
      </c>
      <c r="C26" s="507" t="str">
        <f t="shared" si="9"/>
        <v>0912-7LEK-C6,8-M</v>
      </c>
      <c r="D26" s="522">
        <v>12</v>
      </c>
      <c r="E26" s="508">
        <v>9</v>
      </c>
      <c r="F26" s="508"/>
      <c r="G26" s="506">
        <v>15</v>
      </c>
      <c r="H26" s="506">
        <v>10</v>
      </c>
      <c r="I26" s="506">
        <v>10</v>
      </c>
      <c r="J26" s="506"/>
      <c r="K26" s="506">
        <v>15</v>
      </c>
      <c r="L26" s="506"/>
      <c r="M26" s="506"/>
      <c r="N26" s="506"/>
      <c r="O26" s="506">
        <v>2</v>
      </c>
      <c r="P26" s="503"/>
      <c r="Q26" s="503"/>
      <c r="R26" s="503"/>
      <c r="S26" s="503"/>
      <c r="T26" s="503"/>
      <c r="U26" s="503"/>
      <c r="V26" s="503"/>
      <c r="W26" s="503"/>
      <c r="X26" s="503"/>
      <c r="Y26" s="502">
        <f t="shared" si="2"/>
        <v>40</v>
      </c>
      <c r="Z26" s="502">
        <f t="shared" si="3"/>
        <v>15</v>
      </c>
      <c r="AA26" s="502">
        <f t="shared" si="4"/>
        <v>10</v>
      </c>
      <c r="AB26" s="502">
        <f t="shared" si="5"/>
        <v>15</v>
      </c>
      <c r="AC26" s="502">
        <f t="shared" si="6"/>
        <v>0</v>
      </c>
      <c r="AD26" s="502">
        <f t="shared" si="7"/>
        <v>50</v>
      </c>
      <c r="AE26" s="502">
        <f t="shared" si="8"/>
        <v>2</v>
      </c>
    </row>
    <row r="27" spans="1:31" ht="32.25" customHeight="1">
      <c r="A27" s="556">
        <v>6.9</v>
      </c>
      <c r="B27" s="555" t="s">
        <v>70</v>
      </c>
      <c r="C27" s="507" t="str">
        <f t="shared" si="9"/>
        <v>0912-7LEK-C6,9-G</v>
      </c>
      <c r="D27" s="522">
        <v>12</v>
      </c>
      <c r="E27" s="508" t="s">
        <v>197</v>
      </c>
      <c r="F27" s="508"/>
      <c r="G27" s="506">
        <v>15</v>
      </c>
      <c r="H27" s="506">
        <v>10</v>
      </c>
      <c r="I27" s="506">
        <v>20</v>
      </c>
      <c r="J27" s="506">
        <v>10</v>
      </c>
      <c r="K27" s="506">
        <v>20</v>
      </c>
      <c r="L27" s="506"/>
      <c r="M27" s="506"/>
      <c r="N27" s="506"/>
      <c r="O27" s="506">
        <v>3</v>
      </c>
      <c r="P27" s="503">
        <v>15</v>
      </c>
      <c r="Q27" s="503">
        <v>10</v>
      </c>
      <c r="R27" s="503">
        <v>15</v>
      </c>
      <c r="S27" s="503">
        <v>10</v>
      </c>
      <c r="T27" s="503">
        <v>25</v>
      </c>
      <c r="U27" s="503"/>
      <c r="V27" s="503"/>
      <c r="W27" s="503"/>
      <c r="X27" s="503">
        <v>3</v>
      </c>
      <c r="Y27" s="502">
        <f t="shared" si="2"/>
        <v>110</v>
      </c>
      <c r="Z27" s="502">
        <f t="shared" si="3"/>
        <v>30</v>
      </c>
      <c r="AA27" s="502">
        <f t="shared" si="4"/>
        <v>35</v>
      </c>
      <c r="AB27" s="502">
        <f t="shared" si="5"/>
        <v>45</v>
      </c>
      <c r="AC27" s="502">
        <f t="shared" si="6"/>
        <v>0</v>
      </c>
      <c r="AD27" s="502">
        <f t="shared" si="7"/>
        <v>150</v>
      </c>
      <c r="AE27" s="502">
        <f t="shared" si="8"/>
        <v>6</v>
      </c>
    </row>
    <row r="28" spans="1:31" ht="32.25" customHeight="1">
      <c r="A28" s="519" t="s">
        <v>249</v>
      </c>
      <c r="B28" s="555" t="s">
        <v>71</v>
      </c>
      <c r="C28" s="507" t="str">
        <f t="shared" si="9"/>
        <v>0912-7LEK-C6.10-O</v>
      </c>
      <c r="D28" s="522">
        <v>10</v>
      </c>
      <c r="E28" s="508">
        <v>10</v>
      </c>
      <c r="F28" s="508"/>
      <c r="G28" s="506"/>
      <c r="H28" s="506"/>
      <c r="I28" s="506"/>
      <c r="J28" s="506"/>
      <c r="K28" s="506"/>
      <c r="L28" s="506"/>
      <c r="M28" s="506"/>
      <c r="N28" s="506"/>
      <c r="O28" s="506"/>
      <c r="P28" s="503">
        <v>15</v>
      </c>
      <c r="Q28" s="503">
        <v>10</v>
      </c>
      <c r="R28" s="503">
        <v>10</v>
      </c>
      <c r="S28" s="503"/>
      <c r="T28" s="503">
        <v>15</v>
      </c>
      <c r="U28" s="503"/>
      <c r="V28" s="503"/>
      <c r="W28" s="503"/>
      <c r="X28" s="503">
        <v>2</v>
      </c>
      <c r="Y28" s="502">
        <f t="shared" si="2"/>
        <v>40</v>
      </c>
      <c r="Z28" s="502">
        <f t="shared" si="3"/>
        <v>15</v>
      </c>
      <c r="AA28" s="502">
        <f t="shared" si="4"/>
        <v>10</v>
      </c>
      <c r="AB28" s="502">
        <f t="shared" si="5"/>
        <v>15</v>
      </c>
      <c r="AC28" s="502">
        <f t="shared" si="6"/>
        <v>0</v>
      </c>
      <c r="AD28" s="502">
        <f t="shared" si="7"/>
        <v>50</v>
      </c>
      <c r="AE28" s="502">
        <f t="shared" si="8"/>
        <v>2</v>
      </c>
    </row>
    <row r="29" spans="1:31" ht="32.25" customHeight="1">
      <c r="A29" s="561">
        <v>6.12</v>
      </c>
      <c r="B29" s="555" t="s">
        <v>72</v>
      </c>
      <c r="C29" s="507" t="str">
        <f t="shared" si="9"/>
        <v>0912-7LEK-C6,12-N</v>
      </c>
      <c r="D29" s="522">
        <v>10</v>
      </c>
      <c r="E29" s="508">
        <v>10</v>
      </c>
      <c r="F29" s="508"/>
      <c r="G29" s="506"/>
      <c r="H29" s="506"/>
      <c r="I29" s="506"/>
      <c r="J29" s="506"/>
      <c r="K29" s="506"/>
      <c r="L29" s="506"/>
      <c r="M29" s="506"/>
      <c r="N29" s="506"/>
      <c r="O29" s="506"/>
      <c r="P29" s="503">
        <v>15</v>
      </c>
      <c r="Q29" s="503">
        <v>5</v>
      </c>
      <c r="R29" s="503">
        <v>15</v>
      </c>
      <c r="S29" s="503"/>
      <c r="T29" s="503">
        <v>15</v>
      </c>
      <c r="U29" s="503"/>
      <c r="V29" s="503"/>
      <c r="W29" s="503"/>
      <c r="X29" s="503">
        <v>2</v>
      </c>
      <c r="Y29" s="502">
        <f t="shared" si="2"/>
        <v>45</v>
      </c>
      <c r="Z29" s="502">
        <f t="shared" si="3"/>
        <v>15</v>
      </c>
      <c r="AA29" s="502">
        <f t="shared" si="4"/>
        <v>15</v>
      </c>
      <c r="AB29" s="502">
        <f t="shared" si="5"/>
        <v>15</v>
      </c>
      <c r="AC29" s="502">
        <f t="shared" si="6"/>
        <v>0</v>
      </c>
      <c r="AD29" s="502">
        <f t="shared" si="7"/>
        <v>50</v>
      </c>
      <c r="AE29" s="502">
        <f t="shared" si="8"/>
        <v>2</v>
      </c>
    </row>
    <row r="30" spans="1:31" ht="15.75">
      <c r="A30" s="701" t="s">
        <v>9</v>
      </c>
      <c r="B30" s="702"/>
      <c r="C30" s="702"/>
      <c r="D30" s="702"/>
      <c r="E30" s="702"/>
      <c r="F30" s="703"/>
      <c r="G30" s="551">
        <f t="shared" ref="G30:AE30" si="10">SUM(G20:G29)</f>
        <v>90</v>
      </c>
      <c r="H30" s="551">
        <f t="shared" si="10"/>
        <v>60</v>
      </c>
      <c r="I30" s="551">
        <f t="shared" si="10"/>
        <v>90</v>
      </c>
      <c r="J30" s="551">
        <f t="shared" si="10"/>
        <v>60</v>
      </c>
      <c r="K30" s="551">
        <f t="shared" si="10"/>
        <v>125</v>
      </c>
      <c r="L30" s="551">
        <f t="shared" si="10"/>
        <v>0</v>
      </c>
      <c r="M30" s="551">
        <f t="shared" si="10"/>
        <v>0</v>
      </c>
      <c r="N30" s="551">
        <f t="shared" si="10"/>
        <v>0</v>
      </c>
      <c r="O30" s="551">
        <f t="shared" si="10"/>
        <v>17</v>
      </c>
      <c r="P30" s="551">
        <f t="shared" si="10"/>
        <v>90</v>
      </c>
      <c r="Q30" s="551">
        <f t="shared" si="10"/>
        <v>50</v>
      </c>
      <c r="R30" s="551">
        <f t="shared" si="10"/>
        <v>80</v>
      </c>
      <c r="S30" s="551">
        <f t="shared" si="10"/>
        <v>40</v>
      </c>
      <c r="T30" s="551">
        <f t="shared" si="10"/>
        <v>115</v>
      </c>
      <c r="U30" s="551">
        <f t="shared" si="10"/>
        <v>0</v>
      </c>
      <c r="V30" s="551">
        <f t="shared" si="10"/>
        <v>0</v>
      </c>
      <c r="W30" s="551">
        <f t="shared" si="10"/>
        <v>0</v>
      </c>
      <c r="X30" s="551">
        <f t="shared" si="10"/>
        <v>15</v>
      </c>
      <c r="Y30" s="551">
        <f t="shared" si="10"/>
        <v>590</v>
      </c>
      <c r="Z30" s="551">
        <f t="shared" si="10"/>
        <v>180</v>
      </c>
      <c r="AA30" s="551">
        <f t="shared" si="10"/>
        <v>170</v>
      </c>
      <c r="AB30" s="551">
        <f t="shared" si="10"/>
        <v>240</v>
      </c>
      <c r="AC30" s="551">
        <f t="shared" si="10"/>
        <v>0</v>
      </c>
      <c r="AD30" s="551">
        <f t="shared" si="10"/>
        <v>800</v>
      </c>
      <c r="AE30" s="551">
        <f t="shared" si="10"/>
        <v>32</v>
      </c>
    </row>
    <row r="31" spans="1:31" ht="21.75" customHeight="1">
      <c r="A31" s="534" t="s">
        <v>392</v>
      </c>
      <c r="B31" s="557"/>
      <c r="C31" s="558"/>
      <c r="D31" s="557"/>
      <c r="E31" s="557"/>
      <c r="F31" s="557"/>
      <c r="G31" s="559"/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559"/>
      <c r="V31" s="559"/>
      <c r="W31" s="559"/>
      <c r="X31" s="559"/>
      <c r="Y31" s="559"/>
      <c r="Z31" s="559"/>
      <c r="AA31" s="559"/>
      <c r="AB31" s="559"/>
      <c r="AC31" s="559"/>
      <c r="AD31" s="559"/>
      <c r="AE31" s="560"/>
    </row>
    <row r="32" spans="1:31" ht="31.5" customHeight="1">
      <c r="A32" s="556">
        <v>7.4</v>
      </c>
      <c r="B32" s="555" t="s">
        <v>78</v>
      </c>
      <c r="C32" s="507" t="str">
        <f>"0912-7LEK-B"&amp;A32&amp;"-"&amp;UPPER(LEFT(B32,1))</f>
        <v>0912-7LEK-B7,4-P</v>
      </c>
      <c r="D32" s="522"/>
      <c r="E32" s="508">
        <v>9</v>
      </c>
      <c r="F32" s="508"/>
      <c r="G32" s="506">
        <v>15</v>
      </c>
      <c r="H32" s="506">
        <v>10</v>
      </c>
      <c r="I32" s="506"/>
      <c r="J32" s="506"/>
      <c r="K32" s="506"/>
      <c r="L32" s="506"/>
      <c r="M32" s="506"/>
      <c r="N32" s="506"/>
      <c r="O32" s="506">
        <v>1</v>
      </c>
      <c r="P32" s="503"/>
      <c r="Q32" s="503"/>
      <c r="R32" s="503"/>
      <c r="S32" s="503"/>
      <c r="T32" s="503"/>
      <c r="U32" s="503"/>
      <c r="V32" s="503"/>
      <c r="W32" s="503"/>
      <c r="X32" s="503"/>
      <c r="Y32" s="502">
        <f>SUM(Z32:AC32)</f>
        <v>15</v>
      </c>
      <c r="Z32" s="502">
        <f>SUM(G32,P32)</f>
        <v>15</v>
      </c>
      <c r="AA32" s="502">
        <f>SUM(I32,R32)</f>
        <v>0</v>
      </c>
      <c r="AB32" s="502">
        <f>SUM(K32,T32)</f>
        <v>0</v>
      </c>
      <c r="AC32" s="502">
        <f>SUM(M32,V32)</f>
        <v>0</v>
      </c>
      <c r="AD32" s="502">
        <f>SUM(G32:N32,P32:W32)</f>
        <v>25</v>
      </c>
      <c r="AE32" s="502">
        <f>SUM(O32,X32)</f>
        <v>1</v>
      </c>
    </row>
    <row r="33" spans="1:34" ht="31.5" customHeight="1">
      <c r="A33" s="556">
        <v>7.5</v>
      </c>
      <c r="B33" s="555" t="s">
        <v>79</v>
      </c>
      <c r="C33" s="507" t="str">
        <f>"0912-7LEK-B"&amp;A33&amp;"-"&amp;UPPER(LEFT(B33,1))</f>
        <v>0912-7LEK-B7,5-M</v>
      </c>
      <c r="D33" s="522">
        <v>10</v>
      </c>
      <c r="E33" s="508">
        <v>10</v>
      </c>
      <c r="F33" s="508"/>
      <c r="G33" s="506"/>
      <c r="H33" s="506"/>
      <c r="I33" s="506"/>
      <c r="J33" s="506"/>
      <c r="K33" s="506"/>
      <c r="L33" s="506"/>
      <c r="M33" s="506"/>
      <c r="N33" s="506"/>
      <c r="O33" s="506"/>
      <c r="P33" s="503">
        <v>20</v>
      </c>
      <c r="Q33" s="503">
        <v>5</v>
      </c>
      <c r="R33" s="503">
        <v>15</v>
      </c>
      <c r="S33" s="503">
        <v>5</v>
      </c>
      <c r="T33" s="503">
        <v>5</v>
      </c>
      <c r="U33" s="503"/>
      <c r="V33" s="503"/>
      <c r="W33" s="503"/>
      <c r="X33" s="503">
        <v>2</v>
      </c>
      <c r="Y33" s="502">
        <f>SUM(Z33:AC33)</f>
        <v>40</v>
      </c>
      <c r="Z33" s="502">
        <f>SUM(G33,P33)</f>
        <v>20</v>
      </c>
      <c r="AA33" s="502">
        <f>SUM(I33,R33)</f>
        <v>15</v>
      </c>
      <c r="AB33" s="502">
        <f>SUM(K33,T33)</f>
        <v>5</v>
      </c>
      <c r="AC33" s="502">
        <f>SUM(M33,V33)</f>
        <v>0</v>
      </c>
      <c r="AD33" s="502">
        <f>SUM(G33:N33,P33:W33)</f>
        <v>50</v>
      </c>
      <c r="AE33" s="502">
        <f>SUM(O33,X33)</f>
        <v>2</v>
      </c>
    </row>
    <row r="34" spans="1:34" ht="15.75">
      <c r="A34" s="701" t="s">
        <v>9</v>
      </c>
      <c r="B34" s="702"/>
      <c r="C34" s="702"/>
      <c r="D34" s="702"/>
      <c r="E34" s="702"/>
      <c r="F34" s="703"/>
      <c r="G34" s="551">
        <f t="shared" ref="G34:X34" si="11">SUM(G32:G33)</f>
        <v>15</v>
      </c>
      <c r="H34" s="551">
        <f t="shared" si="11"/>
        <v>10</v>
      </c>
      <c r="I34" s="551">
        <f t="shared" si="11"/>
        <v>0</v>
      </c>
      <c r="J34" s="551">
        <f t="shared" si="11"/>
        <v>0</v>
      </c>
      <c r="K34" s="551">
        <f t="shared" si="11"/>
        <v>0</v>
      </c>
      <c r="L34" s="551">
        <f t="shared" si="11"/>
        <v>0</v>
      </c>
      <c r="M34" s="551">
        <f t="shared" si="11"/>
        <v>0</v>
      </c>
      <c r="N34" s="551">
        <f t="shared" si="11"/>
        <v>0</v>
      </c>
      <c r="O34" s="551">
        <f t="shared" si="11"/>
        <v>1</v>
      </c>
      <c r="P34" s="551">
        <f t="shared" si="11"/>
        <v>20</v>
      </c>
      <c r="Q34" s="551">
        <f t="shared" si="11"/>
        <v>5</v>
      </c>
      <c r="R34" s="551">
        <f t="shared" si="11"/>
        <v>15</v>
      </c>
      <c r="S34" s="551">
        <f>SUM(S32:S33)</f>
        <v>5</v>
      </c>
      <c r="T34" s="551">
        <f t="shared" si="11"/>
        <v>5</v>
      </c>
      <c r="U34" s="551">
        <f t="shared" si="11"/>
        <v>0</v>
      </c>
      <c r="V34" s="551">
        <f t="shared" si="11"/>
        <v>0</v>
      </c>
      <c r="W34" s="551">
        <f t="shared" si="11"/>
        <v>0</v>
      </c>
      <c r="X34" s="551">
        <f t="shared" si="11"/>
        <v>2</v>
      </c>
      <c r="Y34" s="551">
        <f t="shared" ref="Y34:AE34" si="12">SUM(Y32:Y33)</f>
        <v>55</v>
      </c>
      <c r="Z34" s="551">
        <f t="shared" si="12"/>
        <v>35</v>
      </c>
      <c r="AA34" s="551">
        <f t="shared" si="12"/>
        <v>15</v>
      </c>
      <c r="AB34" s="551">
        <f t="shared" si="12"/>
        <v>5</v>
      </c>
      <c r="AC34" s="551">
        <f t="shared" si="12"/>
        <v>0</v>
      </c>
      <c r="AD34" s="551">
        <f t="shared" si="12"/>
        <v>75</v>
      </c>
      <c r="AE34" s="551">
        <f t="shared" si="12"/>
        <v>3</v>
      </c>
    </row>
    <row r="35" spans="1:34" ht="19.5" customHeight="1">
      <c r="A35" s="534" t="s">
        <v>384</v>
      </c>
      <c r="B35" s="557"/>
      <c r="C35" s="558"/>
      <c r="D35" s="557"/>
      <c r="E35" s="557"/>
      <c r="F35" s="557"/>
      <c r="G35" s="559"/>
      <c r="H35" s="559"/>
      <c r="I35" s="559"/>
      <c r="J35" s="559"/>
      <c r="K35" s="559"/>
      <c r="L35" s="559"/>
      <c r="M35" s="559"/>
      <c r="N35" s="559"/>
      <c r="O35" s="559"/>
      <c r="P35" s="559"/>
      <c r="Q35" s="559"/>
      <c r="R35" s="559"/>
      <c r="S35" s="559"/>
      <c r="T35" s="559"/>
      <c r="U35" s="559"/>
      <c r="V35" s="559"/>
      <c r="W35" s="559"/>
      <c r="X35" s="559"/>
      <c r="Y35" s="559"/>
      <c r="Z35" s="559"/>
      <c r="AA35" s="559"/>
      <c r="AB35" s="559"/>
      <c r="AC35" s="559"/>
      <c r="AD35" s="559"/>
      <c r="AE35" s="560"/>
    </row>
    <row r="36" spans="1:34" ht="33.75" customHeight="1">
      <c r="A36" s="556">
        <v>9.6999999999999993</v>
      </c>
      <c r="B36" s="555" t="s">
        <v>81</v>
      </c>
      <c r="C36" s="507" t="str">
        <f>"0912-7LEK-C"&amp;A36&amp;"-"&amp;UPPER(LEFT(B36,1))</f>
        <v>0912-7LEK-C9,7-C</v>
      </c>
      <c r="D36" s="522"/>
      <c r="E36" s="508">
        <v>10</v>
      </c>
      <c r="F36" s="508"/>
      <c r="G36" s="506"/>
      <c r="H36" s="506"/>
      <c r="I36" s="506"/>
      <c r="J36" s="506"/>
      <c r="K36" s="506"/>
      <c r="L36" s="506"/>
      <c r="M36" s="506"/>
      <c r="N36" s="506"/>
      <c r="O36" s="506"/>
      <c r="P36" s="503"/>
      <c r="Q36" s="503"/>
      <c r="R36" s="503"/>
      <c r="S36" s="503"/>
      <c r="T36" s="503">
        <v>60</v>
      </c>
      <c r="U36" s="503"/>
      <c r="V36" s="503"/>
      <c r="W36" s="503"/>
      <c r="X36" s="503">
        <v>2</v>
      </c>
      <c r="Y36" s="502">
        <f>SUM(Z36:AC36)</f>
        <v>60</v>
      </c>
      <c r="Z36" s="502">
        <f>SUM(G36,P36)</f>
        <v>0</v>
      </c>
      <c r="AA36" s="502">
        <f>SUM(I36,R36)</f>
        <v>0</v>
      </c>
      <c r="AB36" s="502">
        <f>SUM(K36,T36)</f>
        <v>60</v>
      </c>
      <c r="AC36" s="502">
        <f>SUM(M36,V36)</f>
        <v>0</v>
      </c>
      <c r="AD36" s="502">
        <f>SUM(G36:N36,P36:W36)</f>
        <v>60</v>
      </c>
      <c r="AE36" s="502">
        <f>SUM(O36,X36)</f>
        <v>2</v>
      </c>
    </row>
    <row r="37" spans="1:34" ht="33.75" customHeight="1">
      <c r="A37" s="556">
        <v>9.8000000000000007</v>
      </c>
      <c r="B37" s="555" t="s">
        <v>70</v>
      </c>
      <c r="C37" s="507" t="str">
        <f>"0912-7LEK-C"&amp;A37&amp;"-"&amp;UPPER(LEFT(B37,1))</f>
        <v>0912-7LEK-C9,8-G</v>
      </c>
      <c r="D37" s="522"/>
      <c r="E37" s="508">
        <v>10</v>
      </c>
      <c r="F37" s="508"/>
      <c r="G37" s="506"/>
      <c r="H37" s="506"/>
      <c r="I37" s="506"/>
      <c r="J37" s="506"/>
      <c r="K37" s="506"/>
      <c r="L37" s="506"/>
      <c r="M37" s="506"/>
      <c r="N37" s="506"/>
      <c r="O37" s="506"/>
      <c r="P37" s="503"/>
      <c r="Q37" s="503"/>
      <c r="R37" s="503"/>
      <c r="S37" s="503"/>
      <c r="T37" s="503">
        <v>60</v>
      </c>
      <c r="U37" s="503"/>
      <c r="V37" s="503"/>
      <c r="W37" s="503"/>
      <c r="X37" s="503">
        <v>2</v>
      </c>
      <c r="Y37" s="502">
        <f>SUM(Z37:AC37)</f>
        <v>60</v>
      </c>
      <c r="Z37" s="502">
        <f>SUM(G37,P37)</f>
        <v>0</v>
      </c>
      <c r="AA37" s="502">
        <f>SUM(I37,R37)</f>
        <v>0</v>
      </c>
      <c r="AB37" s="502">
        <f>SUM(K37,T37)</f>
        <v>60</v>
      </c>
      <c r="AC37" s="502">
        <f>SUM(M37,V37)</f>
        <v>0</v>
      </c>
      <c r="AD37" s="502">
        <f>SUM(G37:N37,P37:W37)</f>
        <v>60</v>
      </c>
      <c r="AE37" s="502">
        <f>SUM(O37,X37)</f>
        <v>2</v>
      </c>
    </row>
    <row r="38" spans="1:34" ht="20.25" customHeight="1">
      <c r="A38" s="701" t="s">
        <v>9</v>
      </c>
      <c r="B38" s="702"/>
      <c r="C38" s="702"/>
      <c r="D38" s="702"/>
      <c r="E38" s="702"/>
      <c r="F38" s="703"/>
      <c r="G38" s="551">
        <f t="shared" ref="G38:X38" si="13">SUM(G36:G37)</f>
        <v>0</v>
      </c>
      <c r="H38" s="551">
        <f t="shared" si="13"/>
        <v>0</v>
      </c>
      <c r="I38" s="551">
        <f t="shared" si="13"/>
        <v>0</v>
      </c>
      <c r="J38" s="551">
        <f t="shared" si="13"/>
        <v>0</v>
      </c>
      <c r="K38" s="551">
        <f t="shared" si="13"/>
        <v>0</v>
      </c>
      <c r="L38" s="551">
        <f t="shared" si="13"/>
        <v>0</v>
      </c>
      <c r="M38" s="551">
        <f t="shared" si="13"/>
        <v>0</v>
      </c>
      <c r="N38" s="551">
        <f t="shared" si="13"/>
        <v>0</v>
      </c>
      <c r="O38" s="551">
        <f t="shared" si="13"/>
        <v>0</v>
      </c>
      <c r="P38" s="551">
        <f t="shared" si="13"/>
        <v>0</v>
      </c>
      <c r="Q38" s="551">
        <f t="shared" si="13"/>
        <v>0</v>
      </c>
      <c r="R38" s="551">
        <f t="shared" si="13"/>
        <v>0</v>
      </c>
      <c r="S38" s="551">
        <f t="shared" si="13"/>
        <v>0</v>
      </c>
      <c r="T38" s="551">
        <f t="shared" si="13"/>
        <v>120</v>
      </c>
      <c r="U38" s="551">
        <f t="shared" si="13"/>
        <v>0</v>
      </c>
      <c r="V38" s="551">
        <f t="shared" si="13"/>
        <v>0</v>
      </c>
      <c r="W38" s="551">
        <f t="shared" si="13"/>
        <v>0</v>
      </c>
      <c r="X38" s="551">
        <f t="shared" si="13"/>
        <v>4</v>
      </c>
      <c r="Y38" s="551">
        <f>SUM(Y36:Y37)</f>
        <v>120</v>
      </c>
      <c r="Z38" s="551">
        <f t="shared" ref="Z38:AE38" si="14">SUM(Z36:Z37)</f>
        <v>0</v>
      </c>
      <c r="AA38" s="551">
        <f t="shared" si="14"/>
        <v>0</v>
      </c>
      <c r="AB38" s="551">
        <f t="shared" si="14"/>
        <v>120</v>
      </c>
      <c r="AC38" s="551">
        <f t="shared" si="14"/>
        <v>0</v>
      </c>
      <c r="AD38" s="551">
        <f t="shared" si="14"/>
        <v>120</v>
      </c>
      <c r="AE38" s="551">
        <f t="shared" si="14"/>
        <v>4</v>
      </c>
    </row>
    <row r="39" spans="1:34" ht="20.25" hidden="1" customHeight="1">
      <c r="A39" s="534" t="s">
        <v>301</v>
      </c>
      <c r="B39" s="557"/>
      <c r="C39" s="558"/>
      <c r="D39" s="562"/>
      <c r="E39" s="562"/>
      <c r="F39" s="562"/>
      <c r="G39" s="559"/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  <c r="AB39" s="559"/>
      <c r="AC39" s="559"/>
      <c r="AD39" s="559"/>
      <c r="AE39" s="560"/>
    </row>
    <row r="40" spans="1:34" ht="30" hidden="1" customHeight="1">
      <c r="A40" s="556">
        <v>11.3</v>
      </c>
      <c r="B40" s="563" t="s">
        <v>108</v>
      </c>
      <c r="C40" s="507" t="str">
        <f>"0912-7LEK-A"&amp;A40&amp;"-"&amp;UPPER(LEFT(B40,1))&amp;"F"</f>
        <v>0912-7LEK-A11,3-WF</v>
      </c>
      <c r="D40" s="522"/>
      <c r="E40" s="564"/>
      <c r="F40" s="508" t="s">
        <v>120</v>
      </c>
      <c r="G40" s="506"/>
      <c r="H40" s="506"/>
      <c r="I40" s="506"/>
      <c r="J40" s="506"/>
      <c r="K40" s="506"/>
      <c r="L40" s="506"/>
      <c r="M40" s="506"/>
      <c r="N40" s="506"/>
      <c r="O40" s="506">
        <v>0</v>
      </c>
      <c r="P40" s="503"/>
      <c r="Q40" s="503"/>
      <c r="R40" s="503"/>
      <c r="S40" s="503"/>
      <c r="T40" s="503"/>
      <c r="U40" s="503"/>
      <c r="V40" s="503"/>
      <c r="W40" s="503"/>
      <c r="X40" s="503">
        <v>0</v>
      </c>
      <c r="Y40" s="565">
        <f>SUM(Z40:AC40)</f>
        <v>0</v>
      </c>
      <c r="Z40" s="565">
        <f>SUM(G40,P40)</f>
        <v>0</v>
      </c>
      <c r="AA40" s="565">
        <f>SUM(I40,R40)</f>
        <v>0</v>
      </c>
      <c r="AB40" s="565">
        <f>SUM(K40,T40)</f>
        <v>0</v>
      </c>
      <c r="AC40" s="565">
        <f>SUM(M40,V40)</f>
        <v>0</v>
      </c>
      <c r="AD40" s="565">
        <f>SUM(G40:N40,P40:W40)</f>
        <v>0</v>
      </c>
      <c r="AE40" s="565">
        <f>SUM(O40,X40)</f>
        <v>0</v>
      </c>
    </row>
    <row r="41" spans="1:34" ht="20.25" hidden="1" customHeight="1">
      <c r="A41" s="701" t="s">
        <v>9</v>
      </c>
      <c r="B41" s="702"/>
      <c r="C41" s="702"/>
      <c r="D41" s="702"/>
      <c r="E41" s="702"/>
      <c r="F41" s="703"/>
      <c r="G41" s="551">
        <f t="shared" ref="G41:X41" si="15">SUM(G40:G40)</f>
        <v>0</v>
      </c>
      <c r="H41" s="551">
        <f t="shared" si="15"/>
        <v>0</v>
      </c>
      <c r="I41" s="551">
        <f t="shared" si="15"/>
        <v>0</v>
      </c>
      <c r="J41" s="551">
        <f t="shared" si="15"/>
        <v>0</v>
      </c>
      <c r="K41" s="551">
        <f t="shared" si="15"/>
        <v>0</v>
      </c>
      <c r="L41" s="551">
        <f t="shared" si="15"/>
        <v>0</v>
      </c>
      <c r="M41" s="551">
        <f t="shared" si="15"/>
        <v>0</v>
      </c>
      <c r="N41" s="551">
        <f t="shared" si="15"/>
        <v>0</v>
      </c>
      <c r="O41" s="551">
        <f t="shared" si="15"/>
        <v>0</v>
      </c>
      <c r="P41" s="551">
        <f t="shared" si="15"/>
        <v>0</v>
      </c>
      <c r="Q41" s="551">
        <f t="shared" si="15"/>
        <v>0</v>
      </c>
      <c r="R41" s="551">
        <f t="shared" si="15"/>
        <v>0</v>
      </c>
      <c r="S41" s="551">
        <f t="shared" si="15"/>
        <v>0</v>
      </c>
      <c r="T41" s="551">
        <f t="shared" si="15"/>
        <v>0</v>
      </c>
      <c r="U41" s="551">
        <f t="shared" si="15"/>
        <v>0</v>
      </c>
      <c r="V41" s="551">
        <f t="shared" si="15"/>
        <v>0</v>
      </c>
      <c r="W41" s="551">
        <f t="shared" si="15"/>
        <v>0</v>
      </c>
      <c r="X41" s="551">
        <f t="shared" si="15"/>
        <v>0</v>
      </c>
      <c r="Y41" s="551">
        <f t="shared" ref="Y41:AE41" si="16">SUM(Y40:Y40)</f>
        <v>0</v>
      </c>
      <c r="Z41" s="551">
        <f t="shared" si="16"/>
        <v>0</v>
      </c>
      <c r="AA41" s="551">
        <f t="shared" si="16"/>
        <v>0</v>
      </c>
      <c r="AB41" s="551">
        <f t="shared" si="16"/>
        <v>0</v>
      </c>
      <c r="AC41" s="551">
        <f t="shared" si="16"/>
        <v>0</v>
      </c>
      <c r="AD41" s="551">
        <f t="shared" si="16"/>
        <v>0</v>
      </c>
      <c r="AE41" s="551">
        <f t="shared" si="16"/>
        <v>0</v>
      </c>
    </row>
    <row r="42" spans="1:34" ht="22.5" customHeight="1">
      <c r="A42" s="534" t="s">
        <v>389</v>
      </c>
      <c r="B42" s="557"/>
      <c r="C42" s="558"/>
      <c r="D42" s="557"/>
      <c r="E42" s="557"/>
      <c r="F42" s="557"/>
      <c r="G42" s="559"/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59"/>
      <c r="Z42" s="559"/>
      <c r="AA42" s="559"/>
      <c r="AB42" s="559"/>
      <c r="AC42" s="559"/>
      <c r="AD42" s="559"/>
      <c r="AE42" s="560"/>
    </row>
    <row r="43" spans="1:34" ht="30" customHeight="1">
      <c r="A43" s="519" t="s">
        <v>149</v>
      </c>
      <c r="B43" s="698" t="s">
        <v>115</v>
      </c>
      <c r="C43" s="699"/>
      <c r="D43" s="700"/>
      <c r="E43" s="508">
        <v>9</v>
      </c>
      <c r="F43" s="508"/>
      <c r="G43" s="506">
        <v>15</v>
      </c>
      <c r="H43" s="506">
        <v>10</v>
      </c>
      <c r="I43" s="506">
        <v>15</v>
      </c>
      <c r="J43" s="506">
        <v>10</v>
      </c>
      <c r="K43" s="506"/>
      <c r="L43" s="506"/>
      <c r="M43" s="506"/>
      <c r="N43" s="506"/>
      <c r="O43" s="506">
        <v>2</v>
      </c>
      <c r="P43" s="503"/>
      <c r="Q43" s="503"/>
      <c r="R43" s="503"/>
      <c r="S43" s="503"/>
      <c r="T43" s="503"/>
      <c r="U43" s="503"/>
      <c r="V43" s="503"/>
      <c r="W43" s="503"/>
      <c r="X43" s="503"/>
      <c r="Y43" s="502">
        <f>SUM(Z43:AC43)</f>
        <v>30</v>
      </c>
      <c r="Z43" s="502">
        <f t="shared" ref="Z43:Z47" si="17">SUM(G43,P43)</f>
        <v>15</v>
      </c>
      <c r="AA43" s="502">
        <f t="shared" ref="AA43:AA47" si="18">SUM(I43,R43)</f>
        <v>15</v>
      </c>
      <c r="AB43" s="502">
        <f t="shared" ref="AB43:AB47" si="19">SUM(K43,T43)</f>
        <v>0</v>
      </c>
      <c r="AC43" s="502">
        <f t="shared" ref="AC43:AC47" si="20">SUM(M43,V43)</f>
        <v>0</v>
      </c>
      <c r="AD43" s="502">
        <f>SUM(G43:N43,P43:W43)</f>
        <v>50</v>
      </c>
      <c r="AE43" s="502">
        <f t="shared" ref="AE43:AE47" si="21">SUM(O43,X43)</f>
        <v>2</v>
      </c>
    </row>
    <row r="44" spans="1:34" ht="30" customHeight="1">
      <c r="A44" s="519" t="s">
        <v>188</v>
      </c>
      <c r="B44" s="698" t="s">
        <v>115</v>
      </c>
      <c r="C44" s="699"/>
      <c r="D44" s="700"/>
      <c r="E44" s="508">
        <v>9</v>
      </c>
      <c r="F44" s="508"/>
      <c r="G44" s="506"/>
      <c r="H44" s="506"/>
      <c r="I44" s="506">
        <v>15</v>
      </c>
      <c r="J44" s="506">
        <v>10</v>
      </c>
      <c r="K44" s="506"/>
      <c r="L44" s="506"/>
      <c r="M44" s="506"/>
      <c r="N44" s="506"/>
      <c r="O44" s="506">
        <v>1</v>
      </c>
      <c r="P44" s="503"/>
      <c r="Q44" s="503"/>
      <c r="R44" s="503"/>
      <c r="S44" s="503"/>
      <c r="T44" s="503"/>
      <c r="U44" s="503"/>
      <c r="V44" s="503"/>
      <c r="W44" s="503"/>
      <c r="X44" s="503"/>
      <c r="Y44" s="502">
        <f t="shared" ref="Y44:Y47" si="22">SUM(Z44:AC44)</f>
        <v>15</v>
      </c>
      <c r="Z44" s="502">
        <f t="shared" si="17"/>
        <v>0</v>
      </c>
      <c r="AA44" s="502">
        <f t="shared" si="18"/>
        <v>15</v>
      </c>
      <c r="AB44" s="502">
        <f t="shared" si="19"/>
        <v>0</v>
      </c>
      <c r="AC44" s="502">
        <f t="shared" si="20"/>
        <v>0</v>
      </c>
      <c r="AD44" s="502">
        <f t="shared" ref="AD44:AD47" si="23">SUM(G44:N44,P44:W44)</f>
        <v>25</v>
      </c>
      <c r="AE44" s="502">
        <f t="shared" si="21"/>
        <v>1</v>
      </c>
    </row>
    <row r="45" spans="1:34" s="293" customFormat="1" ht="30" customHeight="1">
      <c r="A45" s="519" t="s">
        <v>189</v>
      </c>
      <c r="B45" s="698" t="s">
        <v>115</v>
      </c>
      <c r="C45" s="699"/>
      <c r="D45" s="700"/>
      <c r="E45" s="508">
        <v>9</v>
      </c>
      <c r="F45" s="508"/>
      <c r="G45" s="506"/>
      <c r="H45" s="506"/>
      <c r="I45" s="506">
        <v>30</v>
      </c>
      <c r="J45" s="506">
        <v>20</v>
      </c>
      <c r="K45" s="506"/>
      <c r="L45" s="506"/>
      <c r="M45" s="506"/>
      <c r="N45" s="506"/>
      <c r="O45" s="506">
        <v>2</v>
      </c>
      <c r="P45" s="503"/>
      <c r="Q45" s="503"/>
      <c r="R45" s="503"/>
      <c r="S45" s="503"/>
      <c r="T45" s="503"/>
      <c r="U45" s="503"/>
      <c r="V45" s="503"/>
      <c r="W45" s="503"/>
      <c r="X45" s="503"/>
      <c r="Y45" s="502">
        <v>30</v>
      </c>
      <c r="Z45" s="502">
        <v>0</v>
      </c>
      <c r="AA45" s="502">
        <v>30</v>
      </c>
      <c r="AB45" s="502">
        <v>0</v>
      </c>
      <c r="AC45" s="502">
        <v>0</v>
      </c>
      <c r="AD45" s="502">
        <v>50</v>
      </c>
      <c r="AE45" s="502">
        <v>2</v>
      </c>
    </row>
    <row r="46" spans="1:34" ht="30" customHeight="1">
      <c r="A46" s="519" t="s">
        <v>190</v>
      </c>
      <c r="B46" s="698" t="s">
        <v>115</v>
      </c>
      <c r="C46" s="699"/>
      <c r="D46" s="700"/>
      <c r="E46" s="508">
        <v>10</v>
      </c>
      <c r="F46" s="508"/>
      <c r="G46" s="506"/>
      <c r="H46" s="506"/>
      <c r="I46" s="506"/>
      <c r="J46" s="506"/>
      <c r="K46" s="506"/>
      <c r="L46" s="506"/>
      <c r="M46" s="506"/>
      <c r="N46" s="506"/>
      <c r="O46" s="506"/>
      <c r="P46" s="503">
        <v>15</v>
      </c>
      <c r="Q46" s="503">
        <v>10</v>
      </c>
      <c r="R46" s="503"/>
      <c r="S46" s="503"/>
      <c r="T46" s="503"/>
      <c r="U46" s="503"/>
      <c r="V46" s="503"/>
      <c r="W46" s="503"/>
      <c r="X46" s="503">
        <v>1</v>
      </c>
      <c r="Y46" s="502">
        <f t="shared" si="22"/>
        <v>15</v>
      </c>
      <c r="Z46" s="502">
        <f t="shared" si="17"/>
        <v>15</v>
      </c>
      <c r="AA46" s="502">
        <f t="shared" si="18"/>
        <v>0</v>
      </c>
      <c r="AB46" s="502">
        <f t="shared" si="19"/>
        <v>0</v>
      </c>
      <c r="AC46" s="502">
        <f t="shared" si="20"/>
        <v>0</v>
      </c>
      <c r="AD46" s="502">
        <f t="shared" si="23"/>
        <v>25</v>
      </c>
      <c r="AE46" s="502">
        <f t="shared" si="21"/>
        <v>1</v>
      </c>
    </row>
    <row r="47" spans="1:34" ht="30" customHeight="1">
      <c r="A47" s="519" t="s">
        <v>191</v>
      </c>
      <c r="B47" s="698" t="s">
        <v>115</v>
      </c>
      <c r="C47" s="699"/>
      <c r="D47" s="700"/>
      <c r="E47" s="524" t="s">
        <v>128</v>
      </c>
      <c r="F47" s="566"/>
      <c r="G47" s="506"/>
      <c r="H47" s="506"/>
      <c r="I47" s="506"/>
      <c r="J47" s="506"/>
      <c r="K47" s="506"/>
      <c r="L47" s="506"/>
      <c r="M47" s="506"/>
      <c r="N47" s="506"/>
      <c r="O47" s="506"/>
      <c r="P47" s="503"/>
      <c r="Q47" s="503"/>
      <c r="R47" s="503">
        <v>30</v>
      </c>
      <c r="S47" s="503">
        <v>20</v>
      </c>
      <c r="T47" s="503"/>
      <c r="U47" s="503"/>
      <c r="V47" s="503"/>
      <c r="W47" s="503"/>
      <c r="X47" s="503">
        <v>2</v>
      </c>
      <c r="Y47" s="502">
        <f t="shared" si="22"/>
        <v>30</v>
      </c>
      <c r="Z47" s="502">
        <f t="shared" si="17"/>
        <v>0</v>
      </c>
      <c r="AA47" s="502">
        <f t="shared" si="18"/>
        <v>30</v>
      </c>
      <c r="AB47" s="502">
        <f t="shared" si="19"/>
        <v>0</v>
      </c>
      <c r="AC47" s="502">
        <f t="shared" si="20"/>
        <v>0</v>
      </c>
      <c r="AD47" s="502">
        <f t="shared" si="23"/>
        <v>50</v>
      </c>
      <c r="AE47" s="502">
        <f t="shared" si="21"/>
        <v>2</v>
      </c>
      <c r="AF47" s="289"/>
      <c r="AG47" s="289"/>
      <c r="AH47" s="289"/>
    </row>
    <row r="48" spans="1:34" ht="16.5" customHeight="1" thickBot="1">
      <c r="A48" s="708" t="s">
        <v>9</v>
      </c>
      <c r="B48" s="709"/>
      <c r="C48" s="709"/>
      <c r="D48" s="709"/>
      <c r="E48" s="709"/>
      <c r="F48" s="710"/>
      <c r="G48" s="551">
        <f t="shared" ref="G48:AE48" si="24">SUM(G43:G47)</f>
        <v>15</v>
      </c>
      <c r="H48" s="551">
        <f t="shared" si="24"/>
        <v>10</v>
      </c>
      <c r="I48" s="551">
        <f t="shared" si="24"/>
        <v>60</v>
      </c>
      <c r="J48" s="551">
        <f t="shared" si="24"/>
        <v>40</v>
      </c>
      <c r="K48" s="551">
        <f t="shared" si="24"/>
        <v>0</v>
      </c>
      <c r="L48" s="551">
        <f t="shared" si="24"/>
        <v>0</v>
      </c>
      <c r="M48" s="551">
        <f t="shared" si="24"/>
        <v>0</v>
      </c>
      <c r="N48" s="551">
        <f t="shared" si="24"/>
        <v>0</v>
      </c>
      <c r="O48" s="551">
        <f t="shared" si="24"/>
        <v>5</v>
      </c>
      <c r="P48" s="551">
        <f t="shared" si="24"/>
        <v>15</v>
      </c>
      <c r="Q48" s="551">
        <f t="shared" si="24"/>
        <v>10</v>
      </c>
      <c r="R48" s="551">
        <f t="shared" si="24"/>
        <v>30</v>
      </c>
      <c r="S48" s="551">
        <f t="shared" si="24"/>
        <v>20</v>
      </c>
      <c r="T48" s="551">
        <f t="shared" si="24"/>
        <v>0</v>
      </c>
      <c r="U48" s="551">
        <f t="shared" si="24"/>
        <v>0</v>
      </c>
      <c r="V48" s="551">
        <f t="shared" si="24"/>
        <v>0</v>
      </c>
      <c r="W48" s="551">
        <f t="shared" si="24"/>
        <v>0</v>
      </c>
      <c r="X48" s="551">
        <f t="shared" si="24"/>
        <v>3</v>
      </c>
      <c r="Y48" s="551">
        <f t="shared" si="24"/>
        <v>120</v>
      </c>
      <c r="Z48" s="551">
        <f t="shared" si="24"/>
        <v>30</v>
      </c>
      <c r="AA48" s="551">
        <f t="shared" si="24"/>
        <v>90</v>
      </c>
      <c r="AB48" s="551">
        <f t="shared" si="24"/>
        <v>0</v>
      </c>
      <c r="AC48" s="551">
        <f t="shared" si="24"/>
        <v>0</v>
      </c>
      <c r="AD48" s="551">
        <f t="shared" si="24"/>
        <v>200</v>
      </c>
      <c r="AE48" s="551">
        <f t="shared" si="24"/>
        <v>8</v>
      </c>
    </row>
    <row r="49" spans="1:31" ht="23.25" customHeight="1" thickBot="1">
      <c r="A49" s="705" t="s">
        <v>21</v>
      </c>
      <c r="B49" s="706"/>
      <c r="C49" s="706"/>
      <c r="D49" s="706"/>
      <c r="E49" s="706"/>
      <c r="F49" s="707"/>
      <c r="G49" s="567">
        <f t="shared" ref="G49:AE49" si="25">G12+G18+G30+G34+G38+G41+G48</f>
        <v>160</v>
      </c>
      <c r="H49" s="567">
        <f t="shared" si="25"/>
        <v>105</v>
      </c>
      <c r="I49" s="567">
        <f t="shared" si="25"/>
        <v>195</v>
      </c>
      <c r="J49" s="567">
        <f t="shared" si="25"/>
        <v>135</v>
      </c>
      <c r="K49" s="567">
        <f t="shared" si="25"/>
        <v>155</v>
      </c>
      <c r="L49" s="567">
        <f t="shared" si="25"/>
        <v>0</v>
      </c>
      <c r="M49" s="567">
        <f t="shared" si="25"/>
        <v>0</v>
      </c>
      <c r="N49" s="567">
        <f t="shared" si="25"/>
        <v>0</v>
      </c>
      <c r="O49" s="567">
        <f t="shared" si="25"/>
        <v>30</v>
      </c>
      <c r="P49" s="567">
        <f t="shared" si="25"/>
        <v>170</v>
      </c>
      <c r="Q49" s="567">
        <f t="shared" si="25"/>
        <v>95</v>
      </c>
      <c r="R49" s="567">
        <f t="shared" si="25"/>
        <v>165</v>
      </c>
      <c r="S49" s="567">
        <f t="shared" si="25"/>
        <v>80</v>
      </c>
      <c r="T49" s="567">
        <f t="shared" si="25"/>
        <v>285</v>
      </c>
      <c r="U49" s="567">
        <f t="shared" si="25"/>
        <v>0</v>
      </c>
      <c r="V49" s="567">
        <f t="shared" si="25"/>
        <v>0</v>
      </c>
      <c r="W49" s="567">
        <f t="shared" si="25"/>
        <v>0</v>
      </c>
      <c r="X49" s="567">
        <f t="shared" si="25"/>
        <v>31</v>
      </c>
      <c r="Y49" s="567">
        <f t="shared" si="25"/>
        <v>1130</v>
      </c>
      <c r="Z49" s="567">
        <f t="shared" si="25"/>
        <v>330</v>
      </c>
      <c r="AA49" s="567">
        <f t="shared" si="25"/>
        <v>360</v>
      </c>
      <c r="AB49" s="567">
        <f t="shared" si="25"/>
        <v>440</v>
      </c>
      <c r="AC49" s="567">
        <f t="shared" si="25"/>
        <v>0</v>
      </c>
      <c r="AD49" s="567">
        <f t="shared" si="25"/>
        <v>1545</v>
      </c>
      <c r="AE49" s="567">
        <f t="shared" si="25"/>
        <v>61</v>
      </c>
    </row>
    <row r="50" spans="1:31" ht="30" customHeight="1">
      <c r="A50" s="388"/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</row>
    <row r="51" spans="1:31" ht="18">
      <c r="A51" s="704" t="s">
        <v>565</v>
      </c>
      <c r="B51" s="704"/>
      <c r="C51" s="704"/>
      <c r="D51" s="704"/>
      <c r="E51" s="704"/>
      <c r="F51" s="704"/>
      <c r="G51" s="704"/>
      <c r="H51" s="704"/>
      <c r="I51" s="704"/>
      <c r="J51" s="704"/>
      <c r="K51" s="704"/>
      <c r="L51" s="704"/>
      <c r="M51" s="704"/>
      <c r="N51" s="704"/>
      <c r="O51" s="704"/>
      <c r="P51" s="704"/>
      <c r="Q51" s="704"/>
      <c r="R51" s="704"/>
      <c r="S51" s="704"/>
      <c r="T51" s="704"/>
      <c r="U51" s="704"/>
      <c r="V51" s="704"/>
      <c r="W51" s="704"/>
      <c r="X51" s="704"/>
      <c r="Y51" s="704"/>
      <c r="Z51" s="704"/>
      <c r="AA51" s="704"/>
      <c r="AB51" s="704"/>
      <c r="AC51" s="704"/>
      <c r="AD51" s="704"/>
      <c r="AE51" s="704"/>
    </row>
    <row r="52" spans="1:31" ht="29.25" customHeight="1">
      <c r="A52" s="519" t="s">
        <v>211</v>
      </c>
      <c r="B52" s="523" t="s">
        <v>159</v>
      </c>
      <c r="C52" s="507" t="str">
        <f>"0912-7LEK-F"&amp;A52&amp;"-"&amp;UPPER(LEFT(B52,1))</f>
        <v>0912-7LEK-F38-H</v>
      </c>
      <c r="D52" s="522"/>
      <c r="E52" s="508">
        <v>9</v>
      </c>
      <c r="F52" s="508"/>
      <c r="G52" s="506">
        <v>15</v>
      </c>
      <c r="H52" s="506">
        <v>10</v>
      </c>
      <c r="I52" s="506">
        <v>15</v>
      </c>
      <c r="J52" s="506">
        <v>10</v>
      </c>
      <c r="K52" s="506"/>
      <c r="L52" s="506"/>
      <c r="M52" s="506"/>
      <c r="N52" s="506"/>
      <c r="O52" s="506">
        <v>2</v>
      </c>
      <c r="P52" s="503"/>
      <c r="Q52" s="503"/>
      <c r="R52" s="503"/>
      <c r="S52" s="503"/>
      <c r="T52" s="503"/>
      <c r="U52" s="503"/>
      <c r="V52" s="503"/>
      <c r="W52" s="503"/>
      <c r="X52" s="503"/>
      <c r="Y52" s="502">
        <f>SUM(G52,I52,K52,M52,P52,R52,T52,V52)</f>
        <v>30</v>
      </c>
      <c r="Z52" s="502">
        <f>SUM(G52,P52)</f>
        <v>15</v>
      </c>
      <c r="AA52" s="502">
        <f>SUM(I52,R52)</f>
        <v>15</v>
      </c>
      <c r="AB52" s="502">
        <f>SUM(K52,T52)</f>
        <v>0</v>
      </c>
      <c r="AC52" s="502">
        <f>SUM(M52,V52)</f>
        <v>0</v>
      </c>
      <c r="AD52" s="502">
        <f>SUM(G52:M52,P52:W52,N52)</f>
        <v>50</v>
      </c>
      <c r="AE52" s="502">
        <f>SUM(O52,X52)</f>
        <v>2</v>
      </c>
    </row>
    <row r="53" spans="1:31" ht="29.25" customHeight="1">
      <c r="A53" s="519" t="s">
        <v>212</v>
      </c>
      <c r="B53" s="523" t="s">
        <v>160</v>
      </c>
      <c r="C53" s="507" t="str">
        <f t="shared" ref="C53:C67" si="26">"0912-7LEK-F"&amp;A53&amp;"-"&amp;UPPER(LEFT(B53,1))</f>
        <v>0912-7LEK-F39-G</v>
      </c>
      <c r="D53" s="522"/>
      <c r="E53" s="508">
        <v>9</v>
      </c>
      <c r="F53" s="508"/>
      <c r="G53" s="506">
        <v>15</v>
      </c>
      <c r="H53" s="506">
        <v>10</v>
      </c>
      <c r="I53" s="506">
        <v>15</v>
      </c>
      <c r="J53" s="506">
        <v>10</v>
      </c>
      <c r="K53" s="506"/>
      <c r="L53" s="506"/>
      <c r="M53" s="506"/>
      <c r="N53" s="506"/>
      <c r="O53" s="506">
        <v>2</v>
      </c>
      <c r="P53" s="503"/>
      <c r="Q53" s="503"/>
      <c r="R53" s="503"/>
      <c r="S53" s="503"/>
      <c r="T53" s="503"/>
      <c r="U53" s="503"/>
      <c r="V53" s="503"/>
      <c r="W53" s="503"/>
      <c r="X53" s="503"/>
      <c r="Y53" s="502">
        <f t="shared" ref="Y53:Y67" si="27">SUM(G53,I53,K53,M53,P53,R53,T53,V53)</f>
        <v>30</v>
      </c>
      <c r="Z53" s="502">
        <f t="shared" ref="Z53:Z67" si="28">SUM(G53,P53)</f>
        <v>15</v>
      </c>
      <c r="AA53" s="502">
        <f t="shared" ref="AA53:AA67" si="29">SUM(I53,R53)</f>
        <v>15</v>
      </c>
      <c r="AB53" s="502">
        <f t="shared" ref="AB53:AB67" si="30">SUM(K53,T53)</f>
        <v>0</v>
      </c>
      <c r="AC53" s="502">
        <f t="shared" ref="AC53:AC67" si="31">SUM(M53,V53)</f>
        <v>0</v>
      </c>
      <c r="AD53" s="502">
        <f t="shared" ref="AD53:AD67" si="32">SUM(G53:M53,P53:W53,N53)</f>
        <v>50</v>
      </c>
      <c r="AE53" s="502">
        <f t="shared" ref="AE53:AE67" si="33">SUM(O53,X53)</f>
        <v>2</v>
      </c>
    </row>
    <row r="54" spans="1:31" ht="29.25" customHeight="1">
      <c r="A54" s="519" t="s">
        <v>213</v>
      </c>
      <c r="B54" s="523" t="s">
        <v>171</v>
      </c>
      <c r="C54" s="507" t="str">
        <f t="shared" si="26"/>
        <v>0912-7LEK-F40-A</v>
      </c>
      <c r="D54" s="522"/>
      <c r="E54" s="508">
        <v>9</v>
      </c>
      <c r="F54" s="508"/>
      <c r="G54" s="506">
        <v>15</v>
      </c>
      <c r="H54" s="506">
        <v>10</v>
      </c>
      <c r="I54" s="506">
        <v>15</v>
      </c>
      <c r="J54" s="506">
        <v>10</v>
      </c>
      <c r="K54" s="506"/>
      <c r="L54" s="506"/>
      <c r="M54" s="506"/>
      <c r="N54" s="506"/>
      <c r="O54" s="506">
        <v>2</v>
      </c>
      <c r="P54" s="503"/>
      <c r="Q54" s="503"/>
      <c r="R54" s="503"/>
      <c r="S54" s="503"/>
      <c r="T54" s="503"/>
      <c r="U54" s="503"/>
      <c r="V54" s="503"/>
      <c r="W54" s="503"/>
      <c r="X54" s="503"/>
      <c r="Y54" s="502">
        <f t="shared" si="27"/>
        <v>30</v>
      </c>
      <c r="Z54" s="502">
        <f t="shared" si="28"/>
        <v>15</v>
      </c>
      <c r="AA54" s="502">
        <f t="shared" si="29"/>
        <v>15</v>
      </c>
      <c r="AB54" s="502">
        <f t="shared" si="30"/>
        <v>0</v>
      </c>
      <c r="AC54" s="502">
        <f t="shared" si="31"/>
        <v>0</v>
      </c>
      <c r="AD54" s="502">
        <f t="shared" si="32"/>
        <v>50</v>
      </c>
      <c r="AE54" s="502">
        <f t="shared" si="33"/>
        <v>2</v>
      </c>
    </row>
    <row r="55" spans="1:31" ht="29.25" customHeight="1">
      <c r="A55" s="519" t="s">
        <v>214</v>
      </c>
      <c r="B55" s="523" t="s">
        <v>178</v>
      </c>
      <c r="C55" s="507" t="str">
        <f t="shared" si="26"/>
        <v>0912-7LEK-F41-K</v>
      </c>
      <c r="D55" s="522"/>
      <c r="E55" s="508">
        <v>9</v>
      </c>
      <c r="F55" s="508"/>
      <c r="G55" s="506">
        <v>15</v>
      </c>
      <c r="H55" s="506">
        <v>10</v>
      </c>
      <c r="I55" s="506">
        <v>15</v>
      </c>
      <c r="J55" s="506">
        <v>10</v>
      </c>
      <c r="K55" s="506"/>
      <c r="L55" s="506"/>
      <c r="M55" s="506"/>
      <c r="N55" s="506"/>
      <c r="O55" s="506">
        <v>2</v>
      </c>
      <c r="P55" s="503"/>
      <c r="Q55" s="503"/>
      <c r="R55" s="503"/>
      <c r="S55" s="503"/>
      <c r="T55" s="503"/>
      <c r="U55" s="503"/>
      <c r="V55" s="503"/>
      <c r="W55" s="503"/>
      <c r="X55" s="503"/>
      <c r="Y55" s="502">
        <f t="shared" si="27"/>
        <v>30</v>
      </c>
      <c r="Z55" s="502">
        <f t="shared" si="28"/>
        <v>15</v>
      </c>
      <c r="AA55" s="502">
        <f t="shared" si="29"/>
        <v>15</v>
      </c>
      <c r="AB55" s="502">
        <f t="shared" si="30"/>
        <v>0</v>
      </c>
      <c r="AC55" s="502">
        <f t="shared" si="31"/>
        <v>0</v>
      </c>
      <c r="AD55" s="502">
        <f t="shared" si="32"/>
        <v>50</v>
      </c>
      <c r="AE55" s="502">
        <f t="shared" si="33"/>
        <v>2</v>
      </c>
    </row>
    <row r="56" spans="1:31" ht="29.25" customHeight="1">
      <c r="A56" s="519" t="s">
        <v>215</v>
      </c>
      <c r="B56" s="523" t="s">
        <v>175</v>
      </c>
      <c r="C56" s="507" t="str">
        <f t="shared" si="26"/>
        <v>0912-7LEK-F42-Ż</v>
      </c>
      <c r="D56" s="522"/>
      <c r="E56" s="508">
        <v>10</v>
      </c>
      <c r="F56" s="508"/>
      <c r="G56" s="506"/>
      <c r="H56" s="506"/>
      <c r="I56" s="506"/>
      <c r="J56" s="506"/>
      <c r="K56" s="506"/>
      <c r="L56" s="506"/>
      <c r="M56" s="506"/>
      <c r="N56" s="506"/>
      <c r="O56" s="506"/>
      <c r="P56" s="503">
        <v>15</v>
      </c>
      <c r="Q56" s="503">
        <v>10</v>
      </c>
      <c r="R56" s="503"/>
      <c r="S56" s="503"/>
      <c r="T56" s="503"/>
      <c r="U56" s="503"/>
      <c r="V56" s="503"/>
      <c r="W56" s="503"/>
      <c r="X56" s="503">
        <v>1</v>
      </c>
      <c r="Y56" s="502">
        <f t="shared" si="27"/>
        <v>15</v>
      </c>
      <c r="Z56" s="502">
        <f t="shared" si="28"/>
        <v>15</v>
      </c>
      <c r="AA56" s="502">
        <f t="shared" si="29"/>
        <v>0</v>
      </c>
      <c r="AB56" s="502">
        <f t="shared" si="30"/>
        <v>0</v>
      </c>
      <c r="AC56" s="502">
        <f t="shared" si="31"/>
        <v>0</v>
      </c>
      <c r="AD56" s="502">
        <f t="shared" si="32"/>
        <v>25</v>
      </c>
      <c r="AE56" s="502">
        <f t="shared" si="33"/>
        <v>1</v>
      </c>
    </row>
    <row r="57" spans="1:31" ht="33.75" customHeight="1">
      <c r="A57" s="519" t="s">
        <v>216</v>
      </c>
      <c r="B57" s="523" t="s">
        <v>172</v>
      </c>
      <c r="C57" s="507" t="str">
        <f t="shared" si="26"/>
        <v>0912-7LEK-F43-A</v>
      </c>
      <c r="D57" s="522"/>
      <c r="E57" s="508">
        <v>9</v>
      </c>
      <c r="F57" s="508"/>
      <c r="G57" s="506">
        <v>15</v>
      </c>
      <c r="H57" s="506">
        <v>10</v>
      </c>
      <c r="I57" s="506">
        <v>15</v>
      </c>
      <c r="J57" s="506">
        <v>10</v>
      </c>
      <c r="K57" s="506"/>
      <c r="L57" s="506"/>
      <c r="M57" s="506"/>
      <c r="N57" s="506"/>
      <c r="O57" s="506">
        <v>2</v>
      </c>
      <c r="P57" s="503"/>
      <c r="Q57" s="503"/>
      <c r="R57" s="503"/>
      <c r="S57" s="503"/>
      <c r="T57" s="503"/>
      <c r="U57" s="503"/>
      <c r="V57" s="503"/>
      <c r="W57" s="503"/>
      <c r="X57" s="503"/>
      <c r="Y57" s="502">
        <f t="shared" si="27"/>
        <v>30</v>
      </c>
      <c r="Z57" s="502">
        <f t="shared" si="28"/>
        <v>15</v>
      </c>
      <c r="AA57" s="502">
        <f t="shared" si="29"/>
        <v>15</v>
      </c>
      <c r="AB57" s="502">
        <f t="shared" si="30"/>
        <v>0</v>
      </c>
      <c r="AC57" s="502">
        <f t="shared" si="31"/>
        <v>0</v>
      </c>
      <c r="AD57" s="502">
        <f t="shared" si="32"/>
        <v>50</v>
      </c>
      <c r="AE57" s="502">
        <f t="shared" si="33"/>
        <v>2</v>
      </c>
    </row>
    <row r="58" spans="1:31" ht="29.25" customHeight="1">
      <c r="A58" s="519" t="s">
        <v>217</v>
      </c>
      <c r="B58" s="523" t="s">
        <v>331</v>
      </c>
      <c r="C58" s="507" t="str">
        <f>"0912-7LEK-F"&amp;A58&amp;"-"&amp;UPPER(LEFT(B58,1))</f>
        <v>0912-7LEK-F44-L</v>
      </c>
      <c r="D58" s="522"/>
      <c r="E58" s="508">
        <v>10</v>
      </c>
      <c r="F58" s="508"/>
      <c r="G58" s="506"/>
      <c r="H58" s="506"/>
      <c r="I58" s="506"/>
      <c r="J58" s="506"/>
      <c r="K58" s="506"/>
      <c r="L58" s="506"/>
      <c r="M58" s="506"/>
      <c r="N58" s="506"/>
      <c r="O58" s="506"/>
      <c r="P58" s="503">
        <v>15</v>
      </c>
      <c r="Q58" s="503">
        <v>10</v>
      </c>
      <c r="R58" s="503"/>
      <c r="S58" s="503"/>
      <c r="T58" s="503"/>
      <c r="U58" s="503"/>
      <c r="V58" s="503"/>
      <c r="W58" s="503"/>
      <c r="X58" s="503">
        <v>1</v>
      </c>
      <c r="Y58" s="502">
        <f t="shared" si="27"/>
        <v>15</v>
      </c>
      <c r="Z58" s="502">
        <f t="shared" si="28"/>
        <v>15</v>
      </c>
      <c r="AA58" s="502">
        <f t="shared" si="29"/>
        <v>0</v>
      </c>
      <c r="AB58" s="502">
        <f t="shared" si="30"/>
        <v>0</v>
      </c>
      <c r="AC58" s="502">
        <f t="shared" si="31"/>
        <v>0</v>
      </c>
      <c r="AD58" s="502">
        <f t="shared" si="32"/>
        <v>25</v>
      </c>
      <c r="AE58" s="502">
        <f t="shared" si="33"/>
        <v>1</v>
      </c>
    </row>
    <row r="59" spans="1:31" ht="29.25" customHeight="1">
      <c r="A59" s="519" t="s">
        <v>218</v>
      </c>
      <c r="B59" s="523" t="s">
        <v>174</v>
      </c>
      <c r="C59" s="507" t="str">
        <f t="shared" si="26"/>
        <v>0912-7LEK-F45-E</v>
      </c>
      <c r="D59" s="522"/>
      <c r="E59" s="508">
        <v>9</v>
      </c>
      <c r="F59" s="508"/>
      <c r="G59" s="506">
        <v>15</v>
      </c>
      <c r="H59" s="506">
        <v>10</v>
      </c>
      <c r="I59" s="506">
        <v>15</v>
      </c>
      <c r="J59" s="506">
        <v>10</v>
      </c>
      <c r="K59" s="506"/>
      <c r="L59" s="506"/>
      <c r="M59" s="506"/>
      <c r="N59" s="506"/>
      <c r="O59" s="506">
        <v>2</v>
      </c>
      <c r="P59" s="503"/>
      <c r="Q59" s="503"/>
      <c r="R59" s="503"/>
      <c r="S59" s="503"/>
      <c r="T59" s="503"/>
      <c r="U59" s="503"/>
      <c r="V59" s="503"/>
      <c r="W59" s="503"/>
      <c r="X59" s="503"/>
      <c r="Y59" s="502">
        <f t="shared" si="27"/>
        <v>30</v>
      </c>
      <c r="Z59" s="502">
        <f t="shared" si="28"/>
        <v>15</v>
      </c>
      <c r="AA59" s="502">
        <f t="shared" si="29"/>
        <v>15</v>
      </c>
      <c r="AB59" s="502">
        <f t="shared" si="30"/>
        <v>0</v>
      </c>
      <c r="AC59" s="502">
        <f t="shared" si="31"/>
        <v>0</v>
      </c>
      <c r="AD59" s="502">
        <f t="shared" si="32"/>
        <v>50</v>
      </c>
      <c r="AE59" s="502">
        <f t="shared" si="33"/>
        <v>2</v>
      </c>
    </row>
    <row r="60" spans="1:31" ht="29.25" customHeight="1">
      <c r="A60" s="519" t="s">
        <v>219</v>
      </c>
      <c r="B60" s="523" t="s">
        <v>161</v>
      </c>
      <c r="C60" s="507" t="str">
        <f t="shared" si="26"/>
        <v>0912-7LEK-F46-T</v>
      </c>
      <c r="D60" s="522"/>
      <c r="E60" s="508">
        <v>10</v>
      </c>
      <c r="F60" s="508"/>
      <c r="G60" s="506"/>
      <c r="H60" s="506"/>
      <c r="I60" s="506"/>
      <c r="J60" s="506"/>
      <c r="K60" s="506"/>
      <c r="L60" s="506"/>
      <c r="M60" s="506"/>
      <c r="N60" s="506"/>
      <c r="O60" s="506"/>
      <c r="P60" s="503">
        <v>15</v>
      </c>
      <c r="Q60" s="503">
        <v>10</v>
      </c>
      <c r="R60" s="503"/>
      <c r="S60" s="503"/>
      <c r="T60" s="503"/>
      <c r="U60" s="503"/>
      <c r="V60" s="503"/>
      <c r="W60" s="503"/>
      <c r="X60" s="503">
        <v>1</v>
      </c>
      <c r="Y60" s="502">
        <f t="shared" si="27"/>
        <v>15</v>
      </c>
      <c r="Z60" s="502">
        <f t="shared" si="28"/>
        <v>15</v>
      </c>
      <c r="AA60" s="502">
        <f t="shared" si="29"/>
        <v>0</v>
      </c>
      <c r="AB60" s="502">
        <f t="shared" si="30"/>
        <v>0</v>
      </c>
      <c r="AC60" s="502">
        <f t="shared" si="31"/>
        <v>0</v>
      </c>
      <c r="AD60" s="502">
        <f t="shared" si="32"/>
        <v>25</v>
      </c>
      <c r="AE60" s="502">
        <f t="shared" si="33"/>
        <v>1</v>
      </c>
    </row>
    <row r="61" spans="1:31" ht="29.25" customHeight="1">
      <c r="A61" s="519" t="s">
        <v>220</v>
      </c>
      <c r="B61" s="523" t="s">
        <v>162</v>
      </c>
      <c r="C61" s="507" t="str">
        <f t="shared" si="26"/>
        <v>0912-7LEK-F47-D</v>
      </c>
      <c r="D61" s="522"/>
      <c r="E61" s="508">
        <v>9</v>
      </c>
      <c r="F61" s="508"/>
      <c r="G61" s="506">
        <v>15</v>
      </c>
      <c r="H61" s="506">
        <v>10</v>
      </c>
      <c r="I61" s="506">
        <v>15</v>
      </c>
      <c r="J61" s="506">
        <v>10</v>
      </c>
      <c r="K61" s="506"/>
      <c r="L61" s="506"/>
      <c r="M61" s="506"/>
      <c r="N61" s="506"/>
      <c r="O61" s="506">
        <v>2</v>
      </c>
      <c r="P61" s="503"/>
      <c r="Q61" s="503"/>
      <c r="R61" s="503"/>
      <c r="S61" s="503"/>
      <c r="T61" s="503"/>
      <c r="U61" s="503"/>
      <c r="V61" s="503"/>
      <c r="W61" s="503"/>
      <c r="X61" s="503"/>
      <c r="Y61" s="502">
        <f t="shared" si="27"/>
        <v>30</v>
      </c>
      <c r="Z61" s="502">
        <f t="shared" si="28"/>
        <v>15</v>
      </c>
      <c r="AA61" s="502">
        <f t="shared" si="29"/>
        <v>15</v>
      </c>
      <c r="AB61" s="502">
        <f t="shared" si="30"/>
        <v>0</v>
      </c>
      <c r="AC61" s="502">
        <f t="shared" si="31"/>
        <v>0</v>
      </c>
      <c r="AD61" s="502">
        <f t="shared" si="32"/>
        <v>50</v>
      </c>
      <c r="AE61" s="502">
        <f t="shared" si="33"/>
        <v>2</v>
      </c>
    </row>
    <row r="62" spans="1:31" ht="29.25" customHeight="1">
      <c r="A62" s="519" t="s">
        <v>221</v>
      </c>
      <c r="B62" s="523" t="s">
        <v>163</v>
      </c>
      <c r="C62" s="507" t="str">
        <f t="shared" si="26"/>
        <v>0912-7LEK-F48-R</v>
      </c>
      <c r="D62" s="522"/>
      <c r="E62" s="508">
        <v>9</v>
      </c>
      <c r="F62" s="508"/>
      <c r="G62" s="506">
        <v>15</v>
      </c>
      <c r="H62" s="506">
        <v>10</v>
      </c>
      <c r="I62" s="506">
        <v>15</v>
      </c>
      <c r="J62" s="506">
        <v>10</v>
      </c>
      <c r="K62" s="506"/>
      <c r="L62" s="506"/>
      <c r="M62" s="506"/>
      <c r="N62" s="506"/>
      <c r="O62" s="506">
        <v>2</v>
      </c>
      <c r="P62" s="503"/>
      <c r="Q62" s="503"/>
      <c r="R62" s="503"/>
      <c r="S62" s="503"/>
      <c r="T62" s="503"/>
      <c r="U62" s="503"/>
      <c r="V62" s="503"/>
      <c r="W62" s="503"/>
      <c r="X62" s="503"/>
      <c r="Y62" s="502">
        <f t="shared" si="27"/>
        <v>30</v>
      </c>
      <c r="Z62" s="502">
        <f t="shared" si="28"/>
        <v>15</v>
      </c>
      <c r="AA62" s="502">
        <f t="shared" si="29"/>
        <v>15</v>
      </c>
      <c r="AB62" s="502">
        <f t="shared" si="30"/>
        <v>0</v>
      </c>
      <c r="AC62" s="502">
        <f t="shared" si="31"/>
        <v>0</v>
      </c>
      <c r="AD62" s="502">
        <f t="shared" si="32"/>
        <v>50</v>
      </c>
      <c r="AE62" s="502">
        <f t="shared" si="33"/>
        <v>2</v>
      </c>
    </row>
    <row r="63" spans="1:31" ht="32.25" customHeight="1">
      <c r="A63" s="519" t="s">
        <v>222</v>
      </c>
      <c r="B63" s="523" t="s">
        <v>164</v>
      </c>
      <c r="C63" s="507" t="str">
        <f t="shared" si="26"/>
        <v>0912-7LEK-F49-Z</v>
      </c>
      <c r="D63" s="522"/>
      <c r="E63" s="508">
        <v>10</v>
      </c>
      <c r="F63" s="508"/>
      <c r="G63" s="506"/>
      <c r="H63" s="506"/>
      <c r="I63" s="506"/>
      <c r="J63" s="506"/>
      <c r="K63" s="506"/>
      <c r="L63" s="506"/>
      <c r="M63" s="506"/>
      <c r="N63" s="506"/>
      <c r="O63" s="506"/>
      <c r="P63" s="503">
        <v>15</v>
      </c>
      <c r="Q63" s="503">
        <v>10</v>
      </c>
      <c r="R63" s="503"/>
      <c r="S63" s="503"/>
      <c r="T63" s="503"/>
      <c r="U63" s="503"/>
      <c r="V63" s="503"/>
      <c r="W63" s="503"/>
      <c r="X63" s="503">
        <v>1</v>
      </c>
      <c r="Y63" s="502">
        <f t="shared" si="27"/>
        <v>15</v>
      </c>
      <c r="Z63" s="502">
        <f t="shared" si="28"/>
        <v>15</v>
      </c>
      <c r="AA63" s="502">
        <f t="shared" si="29"/>
        <v>0</v>
      </c>
      <c r="AB63" s="502">
        <f t="shared" si="30"/>
        <v>0</v>
      </c>
      <c r="AC63" s="502">
        <f t="shared" si="31"/>
        <v>0</v>
      </c>
      <c r="AD63" s="502">
        <f t="shared" si="32"/>
        <v>25</v>
      </c>
      <c r="AE63" s="502">
        <f t="shared" si="33"/>
        <v>1</v>
      </c>
    </row>
    <row r="64" spans="1:31" ht="29.25" customHeight="1">
      <c r="A64" s="519" t="s">
        <v>223</v>
      </c>
      <c r="B64" s="523" t="s">
        <v>167</v>
      </c>
      <c r="C64" s="507" t="str">
        <f t="shared" si="26"/>
        <v>0912-7LEK-F50-C</v>
      </c>
      <c r="D64" s="522"/>
      <c r="E64" s="508">
        <v>9</v>
      </c>
      <c r="F64" s="508"/>
      <c r="G64" s="506">
        <v>15</v>
      </c>
      <c r="H64" s="506">
        <v>10</v>
      </c>
      <c r="I64" s="506">
        <v>15</v>
      </c>
      <c r="J64" s="506">
        <v>10</v>
      </c>
      <c r="K64" s="506"/>
      <c r="L64" s="506"/>
      <c r="M64" s="506"/>
      <c r="N64" s="506"/>
      <c r="O64" s="506">
        <v>2</v>
      </c>
      <c r="P64" s="503"/>
      <c r="Q64" s="503"/>
      <c r="R64" s="503"/>
      <c r="S64" s="503"/>
      <c r="T64" s="503"/>
      <c r="U64" s="503"/>
      <c r="V64" s="503"/>
      <c r="W64" s="503"/>
      <c r="X64" s="503"/>
      <c r="Y64" s="502">
        <f t="shared" si="27"/>
        <v>30</v>
      </c>
      <c r="Z64" s="502">
        <f t="shared" si="28"/>
        <v>15</v>
      </c>
      <c r="AA64" s="502">
        <f t="shared" si="29"/>
        <v>15</v>
      </c>
      <c r="AB64" s="502">
        <f t="shared" si="30"/>
        <v>0</v>
      </c>
      <c r="AC64" s="502">
        <f t="shared" si="31"/>
        <v>0</v>
      </c>
      <c r="AD64" s="502">
        <f t="shared" si="32"/>
        <v>50</v>
      </c>
      <c r="AE64" s="502">
        <f t="shared" si="33"/>
        <v>2</v>
      </c>
    </row>
    <row r="65" spans="1:31" ht="29.25" customHeight="1">
      <c r="A65" s="519" t="s">
        <v>224</v>
      </c>
      <c r="B65" s="523" t="s">
        <v>166</v>
      </c>
      <c r="C65" s="507" t="str">
        <f t="shared" si="26"/>
        <v>0912-7LEK-F51-P</v>
      </c>
      <c r="D65" s="522"/>
      <c r="E65" s="508">
        <v>10</v>
      </c>
      <c r="F65" s="508"/>
      <c r="G65" s="506"/>
      <c r="H65" s="506"/>
      <c r="I65" s="506"/>
      <c r="J65" s="506"/>
      <c r="K65" s="506"/>
      <c r="L65" s="506"/>
      <c r="M65" s="506"/>
      <c r="N65" s="506"/>
      <c r="O65" s="506"/>
      <c r="P65" s="503">
        <v>15</v>
      </c>
      <c r="Q65" s="503">
        <v>10</v>
      </c>
      <c r="R65" s="503"/>
      <c r="S65" s="503"/>
      <c r="T65" s="503"/>
      <c r="U65" s="503"/>
      <c r="V65" s="503"/>
      <c r="W65" s="503"/>
      <c r="X65" s="503">
        <v>1</v>
      </c>
      <c r="Y65" s="502">
        <f t="shared" si="27"/>
        <v>15</v>
      </c>
      <c r="Z65" s="502">
        <f t="shared" si="28"/>
        <v>15</v>
      </c>
      <c r="AA65" s="502">
        <f t="shared" si="29"/>
        <v>0</v>
      </c>
      <c r="AB65" s="502">
        <f t="shared" si="30"/>
        <v>0</v>
      </c>
      <c r="AC65" s="502">
        <f t="shared" si="31"/>
        <v>0</v>
      </c>
      <c r="AD65" s="502">
        <f t="shared" si="32"/>
        <v>25</v>
      </c>
      <c r="AE65" s="502">
        <f t="shared" si="33"/>
        <v>1</v>
      </c>
    </row>
    <row r="66" spans="1:31" ht="29.25" customHeight="1">
      <c r="A66" s="519" t="s">
        <v>225</v>
      </c>
      <c r="B66" s="523" t="s">
        <v>262</v>
      </c>
      <c r="C66" s="507" t="str">
        <f t="shared" si="26"/>
        <v>0912-7LEK-F52-B</v>
      </c>
      <c r="D66" s="522"/>
      <c r="E66" s="508">
        <v>10</v>
      </c>
      <c r="F66" s="508"/>
      <c r="G66" s="506"/>
      <c r="H66" s="506"/>
      <c r="I66" s="506"/>
      <c r="J66" s="506"/>
      <c r="K66" s="506"/>
      <c r="L66" s="506"/>
      <c r="M66" s="506"/>
      <c r="N66" s="506"/>
      <c r="O66" s="506"/>
      <c r="P66" s="503">
        <v>15</v>
      </c>
      <c r="Q66" s="503">
        <v>10</v>
      </c>
      <c r="R66" s="503"/>
      <c r="S66" s="503"/>
      <c r="T66" s="503"/>
      <c r="U66" s="503"/>
      <c r="V66" s="503"/>
      <c r="W66" s="503"/>
      <c r="X66" s="503">
        <v>1</v>
      </c>
      <c r="Y66" s="502">
        <f t="shared" si="27"/>
        <v>15</v>
      </c>
      <c r="Z66" s="502">
        <f t="shared" si="28"/>
        <v>15</v>
      </c>
      <c r="AA66" s="502">
        <f t="shared" si="29"/>
        <v>0</v>
      </c>
      <c r="AB66" s="502">
        <f t="shared" si="30"/>
        <v>0</v>
      </c>
      <c r="AC66" s="502">
        <f t="shared" si="31"/>
        <v>0</v>
      </c>
      <c r="AD66" s="502">
        <f t="shared" si="32"/>
        <v>25</v>
      </c>
      <c r="AE66" s="502">
        <f t="shared" si="33"/>
        <v>1</v>
      </c>
    </row>
    <row r="67" spans="1:31" ht="29.25" customHeight="1">
      <c r="A67" s="519" t="s">
        <v>226</v>
      </c>
      <c r="B67" s="523" t="s">
        <v>165</v>
      </c>
      <c r="C67" s="507" t="str">
        <f t="shared" si="26"/>
        <v>0912-7LEK-F53-M</v>
      </c>
      <c r="D67" s="522"/>
      <c r="E67" s="508">
        <v>10</v>
      </c>
      <c r="F67" s="508"/>
      <c r="G67" s="506"/>
      <c r="H67" s="506"/>
      <c r="I67" s="506"/>
      <c r="J67" s="506"/>
      <c r="K67" s="506"/>
      <c r="L67" s="506"/>
      <c r="M67" s="506"/>
      <c r="N67" s="506"/>
      <c r="O67" s="506"/>
      <c r="P67" s="503">
        <v>15</v>
      </c>
      <c r="Q67" s="503">
        <v>10</v>
      </c>
      <c r="R67" s="503"/>
      <c r="S67" s="503"/>
      <c r="T67" s="503"/>
      <c r="U67" s="503"/>
      <c r="V67" s="503"/>
      <c r="W67" s="503"/>
      <c r="X67" s="503">
        <v>1</v>
      </c>
      <c r="Y67" s="502">
        <f t="shared" si="27"/>
        <v>15</v>
      </c>
      <c r="Z67" s="502">
        <f t="shared" si="28"/>
        <v>15</v>
      </c>
      <c r="AA67" s="502">
        <f t="shared" si="29"/>
        <v>0</v>
      </c>
      <c r="AB67" s="502">
        <f t="shared" si="30"/>
        <v>0</v>
      </c>
      <c r="AC67" s="502">
        <f t="shared" si="31"/>
        <v>0</v>
      </c>
      <c r="AD67" s="502">
        <f t="shared" si="32"/>
        <v>25</v>
      </c>
      <c r="AE67" s="502">
        <f t="shared" si="33"/>
        <v>1</v>
      </c>
    </row>
    <row r="68" spans="1:31" ht="29.25" customHeight="1">
      <c r="A68" s="519" t="s">
        <v>311</v>
      </c>
      <c r="B68" s="523" t="s">
        <v>170</v>
      </c>
      <c r="C68" s="507" t="str">
        <f>"0912-7LEK-F"&amp;A68&amp;"-"&amp;UPPER(LEFT(B68,1))</f>
        <v>0912-7LEK-F54-F</v>
      </c>
      <c r="D68" s="522"/>
      <c r="E68" s="508">
        <v>10</v>
      </c>
      <c r="F68" s="508"/>
      <c r="G68" s="506"/>
      <c r="H68" s="506"/>
      <c r="I68" s="506"/>
      <c r="J68" s="506"/>
      <c r="K68" s="506"/>
      <c r="L68" s="506"/>
      <c r="M68" s="506"/>
      <c r="N68" s="506"/>
      <c r="O68" s="506"/>
      <c r="P68" s="503">
        <v>15</v>
      </c>
      <c r="Q68" s="503">
        <v>10</v>
      </c>
      <c r="R68" s="503"/>
      <c r="S68" s="503"/>
      <c r="T68" s="503"/>
      <c r="U68" s="503"/>
      <c r="V68" s="503"/>
      <c r="W68" s="503"/>
      <c r="X68" s="503">
        <v>1</v>
      </c>
      <c r="Y68" s="502">
        <f>SUM(G68,I68,K68,M68,P68,R68,T68,V68)</f>
        <v>15</v>
      </c>
      <c r="Z68" s="502">
        <f>SUM(G68,P68)</f>
        <v>15</v>
      </c>
      <c r="AA68" s="502">
        <f>SUM(I68,R68)</f>
        <v>0</v>
      </c>
      <c r="AB68" s="502">
        <f>SUM(K68,T68)</f>
        <v>0</v>
      </c>
      <c r="AC68" s="502">
        <f>SUM(M68,V68)</f>
        <v>0</v>
      </c>
      <c r="AD68" s="502">
        <f>SUM(G68:M68,P68:W68,N68)</f>
        <v>25</v>
      </c>
      <c r="AE68" s="502">
        <f>SUM(O68,X68)</f>
        <v>1</v>
      </c>
    </row>
    <row r="69" spans="1:31" ht="29.25" customHeight="1">
      <c r="A69" s="519" t="s">
        <v>346</v>
      </c>
      <c r="B69" s="523" t="s">
        <v>181</v>
      </c>
      <c r="C69" s="507" t="str">
        <f>"0912-7LEK-F"&amp;A69&amp;"-"&amp;UPPER(LEFT(B69,1))</f>
        <v>0912-7LEK-F55-P</v>
      </c>
      <c r="D69" s="522"/>
      <c r="E69" s="508">
        <v>10</v>
      </c>
      <c r="F69" s="508"/>
      <c r="G69" s="506"/>
      <c r="H69" s="506"/>
      <c r="I69" s="506"/>
      <c r="J69" s="506"/>
      <c r="K69" s="506"/>
      <c r="L69" s="506"/>
      <c r="M69" s="506"/>
      <c r="N69" s="506"/>
      <c r="O69" s="506"/>
      <c r="P69" s="503">
        <v>15</v>
      </c>
      <c r="Q69" s="503">
        <v>10</v>
      </c>
      <c r="R69" s="503"/>
      <c r="S69" s="503"/>
      <c r="T69" s="503"/>
      <c r="U69" s="503"/>
      <c r="V69" s="503"/>
      <c r="W69" s="503"/>
      <c r="X69" s="503">
        <v>1</v>
      </c>
      <c r="Y69" s="502">
        <f>SUM(G69,I69,K69,M69,P69,R69,T69,V69)</f>
        <v>15</v>
      </c>
      <c r="Z69" s="502">
        <f>SUM(G69,P69)</f>
        <v>15</v>
      </c>
      <c r="AA69" s="502">
        <f>SUM(I69,R69)</f>
        <v>0</v>
      </c>
      <c r="AB69" s="502">
        <f>SUM(K69,T69)</f>
        <v>0</v>
      </c>
      <c r="AC69" s="502">
        <f>SUM(M69,V69)</f>
        <v>0</v>
      </c>
      <c r="AD69" s="502">
        <f>SUM(G69:M69,P69:W69,N69)</f>
        <v>25</v>
      </c>
      <c r="AE69" s="502">
        <f>SUM(O69,X69)</f>
        <v>1</v>
      </c>
    </row>
    <row r="70" spans="1:31" ht="52.5" customHeight="1">
      <c r="A70" s="519" t="s">
        <v>511</v>
      </c>
      <c r="B70" s="523" t="s">
        <v>312</v>
      </c>
      <c r="C70" s="507" t="s">
        <v>313</v>
      </c>
      <c r="D70" s="522"/>
      <c r="E70" s="508">
        <v>10</v>
      </c>
      <c r="F70" s="508"/>
      <c r="G70" s="506"/>
      <c r="H70" s="506"/>
      <c r="I70" s="506"/>
      <c r="J70" s="506"/>
      <c r="K70" s="506"/>
      <c r="L70" s="506"/>
      <c r="M70" s="506"/>
      <c r="N70" s="506"/>
      <c r="O70" s="506"/>
      <c r="P70" s="503">
        <v>15</v>
      </c>
      <c r="Q70" s="503">
        <v>10</v>
      </c>
      <c r="R70" s="503"/>
      <c r="S70" s="503"/>
      <c r="T70" s="503"/>
      <c r="U70" s="503"/>
      <c r="V70" s="503"/>
      <c r="W70" s="503"/>
      <c r="X70" s="503">
        <v>1</v>
      </c>
      <c r="Y70" s="502">
        <f>SUM(Z70:AC70)</f>
        <v>15</v>
      </c>
      <c r="Z70" s="502">
        <f>G70+P70</f>
        <v>15</v>
      </c>
      <c r="AA70" s="502">
        <f>I70+R70</f>
        <v>0</v>
      </c>
      <c r="AB70" s="502">
        <f>K70+T70</f>
        <v>0</v>
      </c>
      <c r="AC70" s="502">
        <f>M70+V70</f>
        <v>0</v>
      </c>
      <c r="AD70" s="502">
        <f>SUM(G70:N70,P70:W70)</f>
        <v>25</v>
      </c>
      <c r="AE70" s="502">
        <f>O70+X70</f>
        <v>1</v>
      </c>
    </row>
    <row r="71" spans="1:31" ht="38.25" customHeight="1">
      <c r="A71" s="519" t="s">
        <v>512</v>
      </c>
      <c r="B71" s="523" t="s">
        <v>302</v>
      </c>
      <c r="C71" s="507" t="str">
        <f>"0912-7LEK-F"&amp;A71&amp;"-"&amp;UPPER(LEFT(B71,1))</f>
        <v>0912-7LEK-F57-Z</v>
      </c>
      <c r="D71" s="522"/>
      <c r="E71" s="524" t="s">
        <v>238</v>
      </c>
      <c r="F71" s="508"/>
      <c r="G71" s="506"/>
      <c r="H71" s="506"/>
      <c r="I71" s="506">
        <v>30</v>
      </c>
      <c r="J71" s="506">
        <v>20</v>
      </c>
      <c r="K71" s="506"/>
      <c r="L71" s="506"/>
      <c r="M71" s="506"/>
      <c r="N71" s="506"/>
      <c r="O71" s="506">
        <v>2</v>
      </c>
      <c r="P71" s="503"/>
      <c r="Q71" s="503"/>
      <c r="R71" s="503">
        <v>30</v>
      </c>
      <c r="S71" s="503">
        <v>20</v>
      </c>
      <c r="T71" s="503"/>
      <c r="U71" s="503"/>
      <c r="V71" s="503"/>
      <c r="W71" s="503"/>
      <c r="X71" s="503">
        <v>2</v>
      </c>
      <c r="Y71" s="502">
        <f>SUM(G71,I71,K71,M71,P71,R71,T71,V71)</f>
        <v>60</v>
      </c>
      <c r="Z71" s="502">
        <f>SUM(G71,P71)</f>
        <v>0</v>
      </c>
      <c r="AA71" s="502">
        <f>SUM(I71,R71)</f>
        <v>60</v>
      </c>
      <c r="AB71" s="502">
        <f>SUM(K71,T71)</f>
        <v>0</v>
      </c>
      <c r="AC71" s="502">
        <f>SUM(M71,V71)</f>
        <v>0</v>
      </c>
      <c r="AD71" s="502">
        <f>SUM(G71:M71,P71:W71,N71)</f>
        <v>100</v>
      </c>
      <c r="AE71" s="502">
        <f>SUM(O71,X71)</f>
        <v>4</v>
      </c>
    </row>
    <row r="72" spans="1:31" s="293" customFormat="1" ht="37.5" customHeight="1">
      <c r="A72" s="519" t="s">
        <v>552</v>
      </c>
      <c r="B72" s="523" t="s">
        <v>403</v>
      </c>
      <c r="C72" s="507" t="str">
        <f>"0912-7LEK-F"&amp;A72&amp;"-"&amp;UPPER(LEFT(B72,1))</f>
        <v>0912-7LEK-F58-R</v>
      </c>
      <c r="D72" s="522"/>
      <c r="E72" s="524" t="s">
        <v>125</v>
      </c>
      <c r="F72" s="508"/>
      <c r="G72" s="506"/>
      <c r="H72" s="506"/>
      <c r="I72" s="506">
        <v>15</v>
      </c>
      <c r="J72" s="506">
        <v>10</v>
      </c>
      <c r="K72" s="506"/>
      <c r="L72" s="506"/>
      <c r="M72" s="506"/>
      <c r="N72" s="506"/>
      <c r="O72" s="506">
        <v>1</v>
      </c>
      <c r="P72" s="503"/>
      <c r="Q72" s="503"/>
      <c r="R72" s="503"/>
      <c r="S72" s="503"/>
      <c r="T72" s="503"/>
      <c r="U72" s="503"/>
      <c r="V72" s="503"/>
      <c r="W72" s="503"/>
      <c r="X72" s="503"/>
      <c r="Y72" s="502">
        <f>SUM(G72,I72,K72,M72,P72,R72,T72,V72)</f>
        <v>15</v>
      </c>
      <c r="Z72" s="502">
        <f>SUM(G72,P72)</f>
        <v>0</v>
      </c>
      <c r="AA72" s="502">
        <f>SUM(I72,R72)</f>
        <v>15</v>
      </c>
      <c r="AB72" s="502">
        <f>SUM(K72,T72)</f>
        <v>0</v>
      </c>
      <c r="AC72" s="502">
        <f>SUM(M72,V72)</f>
        <v>0</v>
      </c>
      <c r="AD72" s="502">
        <f>SUM(G72:M72,P72:W72,N72)</f>
        <v>25</v>
      </c>
      <c r="AE72" s="502">
        <f>SUM(O72,X72)</f>
        <v>1</v>
      </c>
    </row>
    <row r="73" spans="1:31" s="293" customFormat="1" ht="36.75" customHeight="1">
      <c r="A73" s="519" t="s">
        <v>553</v>
      </c>
      <c r="B73" s="523" t="s">
        <v>506</v>
      </c>
      <c r="C73" s="507" t="s">
        <v>513</v>
      </c>
      <c r="D73" s="522"/>
      <c r="E73" s="524" t="s">
        <v>125</v>
      </c>
      <c r="F73" s="508"/>
      <c r="G73" s="506"/>
      <c r="H73" s="506"/>
      <c r="I73" s="506">
        <v>15</v>
      </c>
      <c r="J73" s="506">
        <v>10</v>
      </c>
      <c r="K73" s="506"/>
      <c r="L73" s="506"/>
      <c r="M73" s="506"/>
      <c r="N73" s="506"/>
      <c r="O73" s="506">
        <v>1</v>
      </c>
      <c r="P73" s="503"/>
      <c r="Q73" s="503"/>
      <c r="R73" s="503"/>
      <c r="S73" s="503"/>
      <c r="T73" s="503"/>
      <c r="U73" s="503"/>
      <c r="V73" s="503"/>
      <c r="W73" s="503"/>
      <c r="X73" s="503"/>
      <c r="Y73" s="502">
        <v>15</v>
      </c>
      <c r="Z73" s="502">
        <v>0</v>
      </c>
      <c r="AA73" s="502">
        <f>SUM(I73,R73)</f>
        <v>15</v>
      </c>
      <c r="AB73" s="502">
        <v>0</v>
      </c>
      <c r="AC73" s="502">
        <v>0</v>
      </c>
      <c r="AD73" s="502">
        <f>SUM(G73:M73,P73:W73,N73)</f>
        <v>25</v>
      </c>
      <c r="AE73" s="502">
        <f>SUM(O73,X73)</f>
        <v>1</v>
      </c>
    </row>
    <row r="74" spans="1:31" s="293" customFormat="1" ht="36.75" customHeight="1">
      <c r="A74" s="519" t="s">
        <v>554</v>
      </c>
      <c r="B74" s="523" t="s">
        <v>531</v>
      </c>
      <c r="C74" s="507" t="s">
        <v>569</v>
      </c>
      <c r="D74" s="522"/>
      <c r="E74" s="524" t="s">
        <v>128</v>
      </c>
      <c r="F74" s="508"/>
      <c r="G74" s="506"/>
      <c r="H74" s="506"/>
      <c r="I74" s="506"/>
      <c r="J74" s="506"/>
      <c r="K74" s="506"/>
      <c r="L74" s="506"/>
      <c r="M74" s="506"/>
      <c r="N74" s="506"/>
      <c r="O74" s="506"/>
      <c r="P74" s="503">
        <v>15</v>
      </c>
      <c r="Q74" s="503">
        <v>10</v>
      </c>
      <c r="R74" s="503"/>
      <c r="S74" s="503"/>
      <c r="T74" s="503"/>
      <c r="U74" s="503"/>
      <c r="V74" s="503"/>
      <c r="W74" s="503"/>
      <c r="X74" s="503">
        <v>1</v>
      </c>
      <c r="Y74" s="502">
        <f>SUM(G74,I74,K74,M74,P74,R74,T74,V74)</f>
        <v>15</v>
      </c>
      <c r="Z74" s="502">
        <f>SUM(G74,P74)</f>
        <v>15</v>
      </c>
      <c r="AA74" s="502">
        <f>SUM(I74,R74)</f>
        <v>0</v>
      </c>
      <c r="AB74" s="502">
        <f>SUM(K74,T74)</f>
        <v>0</v>
      </c>
      <c r="AC74" s="502">
        <f>SUM(M74,V74)</f>
        <v>0</v>
      </c>
      <c r="AD74" s="502">
        <f>SUM(G74:M74,P74:W74,N74)</f>
        <v>25</v>
      </c>
      <c r="AE74" s="502">
        <f>SUM(O74,X74)</f>
        <v>1</v>
      </c>
    </row>
    <row r="75" spans="1:31" s="293" customFormat="1" ht="36.75" customHeight="1">
      <c r="A75" s="519" t="s">
        <v>530</v>
      </c>
      <c r="B75" s="523" t="s">
        <v>533</v>
      </c>
      <c r="C75" s="507" t="s">
        <v>570</v>
      </c>
      <c r="D75" s="522"/>
      <c r="E75" s="524" t="s">
        <v>125</v>
      </c>
      <c r="F75" s="508"/>
      <c r="G75" s="506"/>
      <c r="H75" s="506"/>
      <c r="I75" s="506">
        <v>30</v>
      </c>
      <c r="J75" s="506">
        <v>20</v>
      </c>
      <c r="K75" s="506"/>
      <c r="L75" s="506"/>
      <c r="M75" s="506"/>
      <c r="N75" s="506"/>
      <c r="O75" s="506">
        <v>2</v>
      </c>
      <c r="P75" s="503"/>
      <c r="Q75" s="503"/>
      <c r="R75" s="503"/>
      <c r="S75" s="503"/>
      <c r="T75" s="503"/>
      <c r="U75" s="503"/>
      <c r="V75" s="503"/>
      <c r="W75" s="503"/>
      <c r="X75" s="503"/>
      <c r="Y75" s="502">
        <v>30</v>
      </c>
      <c r="Z75" s="502">
        <v>0</v>
      </c>
      <c r="AA75" s="502">
        <v>30</v>
      </c>
      <c r="AB75" s="502">
        <v>0</v>
      </c>
      <c r="AC75" s="502">
        <v>0</v>
      </c>
      <c r="AD75" s="502">
        <v>50</v>
      </c>
      <c r="AE75" s="502">
        <v>1</v>
      </c>
    </row>
    <row r="76" spans="1:31" s="293" customFormat="1" ht="36.75" customHeight="1">
      <c r="A76" s="519" t="s">
        <v>532</v>
      </c>
      <c r="B76" s="523" t="s">
        <v>535</v>
      </c>
      <c r="C76" s="507" t="s">
        <v>571</v>
      </c>
      <c r="D76" s="522"/>
      <c r="E76" s="524" t="s">
        <v>128</v>
      </c>
      <c r="F76" s="508"/>
      <c r="G76" s="506"/>
      <c r="H76" s="506"/>
      <c r="I76" s="506"/>
      <c r="J76" s="506"/>
      <c r="K76" s="506"/>
      <c r="L76" s="506"/>
      <c r="M76" s="506"/>
      <c r="N76" s="506"/>
      <c r="O76" s="506"/>
      <c r="P76" s="503"/>
      <c r="Q76" s="503"/>
      <c r="R76" s="503">
        <v>30</v>
      </c>
      <c r="S76" s="503">
        <v>20</v>
      </c>
      <c r="T76" s="503"/>
      <c r="U76" s="503"/>
      <c r="V76" s="503"/>
      <c r="W76" s="503"/>
      <c r="X76" s="503">
        <v>2</v>
      </c>
      <c r="Y76" s="502">
        <v>30</v>
      </c>
      <c r="Z76" s="502">
        <v>0</v>
      </c>
      <c r="AA76" s="502">
        <v>30</v>
      </c>
      <c r="AB76" s="502">
        <v>0</v>
      </c>
      <c r="AC76" s="502">
        <v>0</v>
      </c>
      <c r="AD76" s="502">
        <v>50</v>
      </c>
      <c r="AE76" s="502">
        <v>1</v>
      </c>
    </row>
    <row r="77" spans="1:31" s="293" customFormat="1" ht="36.75" customHeight="1">
      <c r="A77" s="519" t="s">
        <v>534</v>
      </c>
      <c r="B77" s="523" t="s">
        <v>537</v>
      </c>
      <c r="C77" s="507" t="s">
        <v>572</v>
      </c>
      <c r="D77" s="522"/>
      <c r="E77" s="524" t="s">
        <v>128</v>
      </c>
      <c r="F77" s="508"/>
      <c r="G77" s="506"/>
      <c r="H77" s="506"/>
      <c r="I77" s="506"/>
      <c r="J77" s="506"/>
      <c r="K77" s="506"/>
      <c r="L77" s="506"/>
      <c r="M77" s="506"/>
      <c r="N77" s="506"/>
      <c r="O77" s="506"/>
      <c r="P77" s="503">
        <v>15</v>
      </c>
      <c r="Q77" s="503">
        <v>10</v>
      </c>
      <c r="R77" s="503"/>
      <c r="S77" s="503"/>
      <c r="T77" s="503"/>
      <c r="U77" s="503"/>
      <c r="V77" s="503"/>
      <c r="W77" s="503"/>
      <c r="X77" s="503">
        <v>1</v>
      </c>
      <c r="Y77" s="502">
        <f>SUM(G77,I77,K77,M77,P77,R77,T77,V77)</f>
        <v>15</v>
      </c>
      <c r="Z77" s="502">
        <f>SUM(G77,P77)</f>
        <v>15</v>
      </c>
      <c r="AA77" s="502">
        <f>SUM(I77,R77)</f>
        <v>0</v>
      </c>
      <c r="AB77" s="502">
        <f>SUM(K77,T77)</f>
        <v>0</v>
      </c>
      <c r="AC77" s="502">
        <f>SUM(M77,V77)</f>
        <v>0</v>
      </c>
      <c r="AD77" s="502">
        <f>SUM(G77:M77,P77:W77,N77)</f>
        <v>25</v>
      </c>
      <c r="AE77" s="502">
        <f>SUM(O77,X77)</f>
        <v>1</v>
      </c>
    </row>
    <row r="78" spans="1:31" s="293" customFormat="1" ht="36.75" customHeight="1">
      <c r="A78" s="519" t="s">
        <v>536</v>
      </c>
      <c r="B78" s="523" t="s">
        <v>550</v>
      </c>
      <c r="C78" s="507" t="s">
        <v>573</v>
      </c>
      <c r="D78" s="522"/>
      <c r="E78" s="524" t="s">
        <v>234</v>
      </c>
      <c r="F78" s="508"/>
      <c r="G78" s="506"/>
      <c r="H78" s="506"/>
      <c r="I78" s="506">
        <v>20</v>
      </c>
      <c r="J78" s="506">
        <v>5</v>
      </c>
      <c r="K78" s="506"/>
      <c r="L78" s="506"/>
      <c r="M78" s="506"/>
      <c r="N78" s="506"/>
      <c r="O78" s="506">
        <v>1</v>
      </c>
      <c r="P78" s="503"/>
      <c r="Q78" s="503"/>
      <c r="R78" s="503"/>
      <c r="S78" s="503"/>
      <c r="T78" s="503"/>
      <c r="U78" s="503"/>
      <c r="V78" s="503"/>
      <c r="W78" s="503"/>
      <c r="X78" s="503"/>
      <c r="Y78" s="502">
        <v>15</v>
      </c>
      <c r="Z78" s="502">
        <v>15</v>
      </c>
      <c r="AA78" s="502">
        <v>0</v>
      </c>
      <c r="AB78" s="502">
        <v>0</v>
      </c>
      <c r="AC78" s="502">
        <v>0</v>
      </c>
      <c r="AD78" s="502">
        <v>25</v>
      </c>
      <c r="AE78" s="502">
        <v>1</v>
      </c>
    </row>
    <row r="79" spans="1:31" ht="29.25" customHeight="1">
      <c r="A79" s="383"/>
      <c r="B79" s="383"/>
      <c r="C79" s="467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3"/>
      <c r="Q79" s="383"/>
      <c r="R79" s="383"/>
      <c r="S79" s="383"/>
      <c r="T79" s="383"/>
      <c r="U79" s="383"/>
      <c r="V79" s="383"/>
      <c r="W79" s="383"/>
      <c r="X79" s="383"/>
      <c r="Y79" s="383"/>
      <c r="Z79" s="383"/>
      <c r="AA79" s="383"/>
      <c r="AB79" s="383"/>
      <c r="AC79" s="383"/>
      <c r="AD79" s="383"/>
      <c r="AE79" s="383"/>
    </row>
    <row r="80" spans="1:31">
      <c r="Q80" s="62"/>
    </row>
    <row r="86" spans="2:30" ht="46.5">
      <c r="B86" s="276" t="s">
        <v>303</v>
      </c>
      <c r="K86" s="25"/>
      <c r="L86" s="25"/>
      <c r="M86" s="25"/>
      <c r="N86" s="25"/>
      <c r="O86" s="464"/>
      <c r="P86" s="293"/>
      <c r="Q86" s="293"/>
      <c r="R86" s="293"/>
      <c r="S86" s="293"/>
      <c r="T86" s="293"/>
      <c r="U86" s="293"/>
      <c r="V86" s="293"/>
      <c r="W86" s="8" t="s">
        <v>122</v>
      </c>
    </row>
    <row r="88" spans="2:30" ht="18.75">
      <c r="B88" s="298" t="s">
        <v>326</v>
      </c>
      <c r="C88" s="298"/>
      <c r="D88" s="298"/>
      <c r="E88" s="298"/>
      <c r="F88" s="298"/>
      <c r="G88" s="298"/>
      <c r="H88" s="298"/>
      <c r="I88" s="298"/>
      <c r="J88" s="298"/>
      <c r="K88" s="383"/>
      <c r="L88" s="383"/>
      <c r="M88" s="383"/>
      <c r="N88" s="383"/>
      <c r="O88" s="383"/>
      <c r="P88" s="38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</row>
    <row r="89" spans="2:30" ht="18.75">
      <c r="B89" s="298" t="s">
        <v>500</v>
      </c>
      <c r="C89" s="298"/>
      <c r="D89" s="298"/>
      <c r="E89" s="298"/>
      <c r="F89" s="298"/>
      <c r="G89" s="298"/>
      <c r="H89" s="298"/>
      <c r="I89" s="298"/>
      <c r="J89" s="298"/>
      <c r="K89" s="383"/>
      <c r="L89" s="383"/>
      <c r="M89" s="383"/>
      <c r="N89" s="383"/>
      <c r="O89" s="383"/>
      <c r="P89" s="38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</row>
    <row r="90" spans="2:30" ht="18.75">
      <c r="B90" s="400" t="s">
        <v>405</v>
      </c>
      <c r="C90" s="400"/>
      <c r="D90" s="400"/>
      <c r="E90" s="400"/>
      <c r="F90" s="400"/>
      <c r="G90" s="400"/>
      <c r="H90" s="400"/>
      <c r="I90" s="298"/>
      <c r="J90" s="298"/>
      <c r="K90" s="383"/>
      <c r="L90" s="383"/>
      <c r="M90" s="383"/>
      <c r="N90" s="383"/>
      <c r="O90" s="383"/>
      <c r="P90" s="38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</row>
    <row r="91" spans="2:30" ht="18.75">
      <c r="B91" s="400" t="s">
        <v>406</v>
      </c>
      <c r="C91" s="400"/>
      <c r="D91" s="400"/>
      <c r="E91" s="400"/>
      <c r="F91" s="400"/>
      <c r="G91" s="400"/>
      <c r="H91" s="400"/>
      <c r="I91" s="298"/>
      <c r="J91" s="298"/>
      <c r="K91" s="383"/>
      <c r="L91" s="383"/>
      <c r="M91" s="383"/>
      <c r="N91" s="383"/>
      <c r="O91" s="383"/>
      <c r="P91" s="38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</row>
    <row r="92" spans="2:30" ht="18.75">
      <c r="B92" s="400" t="s">
        <v>407</v>
      </c>
      <c r="C92" s="400"/>
      <c r="D92" s="400"/>
      <c r="E92" s="400"/>
      <c r="F92" s="400"/>
      <c r="G92" s="400"/>
      <c r="H92" s="400"/>
      <c r="I92" s="298"/>
      <c r="J92" s="298"/>
      <c r="K92" s="383"/>
      <c r="L92" s="383"/>
      <c r="M92" s="383"/>
      <c r="N92" s="383"/>
      <c r="O92" s="383"/>
      <c r="P92" s="38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</row>
    <row r="93" spans="2:30" ht="18.75">
      <c r="B93" s="400" t="s">
        <v>408</v>
      </c>
      <c r="C93" s="400"/>
      <c r="D93" s="400"/>
      <c r="E93" s="400"/>
      <c r="F93" s="400"/>
      <c r="G93" s="400"/>
      <c r="H93" s="400"/>
      <c r="I93" s="298"/>
      <c r="J93" s="298"/>
      <c r="K93" s="383"/>
      <c r="L93" s="383"/>
      <c r="M93" s="383"/>
      <c r="N93" s="383"/>
      <c r="O93" s="383"/>
      <c r="P93" s="38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</row>
    <row r="94" spans="2:30" ht="18.75">
      <c r="B94" s="400" t="s">
        <v>409</v>
      </c>
      <c r="C94" s="400"/>
      <c r="D94" s="400"/>
      <c r="E94" s="400"/>
      <c r="F94" s="400"/>
      <c r="G94" s="400"/>
      <c r="H94" s="400"/>
      <c r="I94" s="298"/>
      <c r="J94" s="298"/>
      <c r="K94" s="383"/>
      <c r="L94" s="383"/>
      <c r="M94" s="383"/>
      <c r="N94" s="383"/>
      <c r="O94" s="383"/>
      <c r="P94" s="38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</row>
    <row r="95" spans="2:30" ht="18.75">
      <c r="B95" s="400" t="s">
        <v>410</v>
      </c>
      <c r="C95" s="400"/>
      <c r="D95" s="400"/>
      <c r="E95" s="400"/>
      <c r="F95" s="400"/>
      <c r="G95" s="400"/>
      <c r="H95" s="400"/>
      <c r="I95" s="298"/>
      <c r="J95" s="298"/>
      <c r="K95" s="383"/>
      <c r="L95" s="383"/>
      <c r="M95" s="383"/>
      <c r="N95" s="383"/>
      <c r="O95" s="383"/>
      <c r="P95" s="38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</row>
    <row r="96" spans="2:30" ht="18.75">
      <c r="B96" s="400" t="s">
        <v>411</v>
      </c>
      <c r="C96" s="400"/>
      <c r="D96" s="400"/>
      <c r="E96" s="400"/>
      <c r="F96" s="400"/>
      <c r="G96" s="400"/>
      <c r="H96" s="400"/>
      <c r="I96" s="298"/>
      <c r="J96" s="298"/>
      <c r="K96" s="383"/>
      <c r="L96" s="383"/>
      <c r="M96" s="383"/>
      <c r="N96" s="383"/>
      <c r="O96" s="383"/>
      <c r="P96" s="38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</row>
    <row r="97" spans="2:30" ht="18.75">
      <c r="B97" s="400" t="s">
        <v>412</v>
      </c>
      <c r="C97" s="400"/>
      <c r="D97" s="400"/>
      <c r="E97" s="400"/>
      <c r="F97" s="400"/>
      <c r="G97" s="400"/>
      <c r="H97" s="400"/>
      <c r="I97" s="298"/>
      <c r="J97" s="298"/>
      <c r="K97" s="383"/>
      <c r="L97" s="383"/>
      <c r="M97" s="383"/>
      <c r="N97" s="383"/>
      <c r="O97" s="383"/>
      <c r="P97" s="38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</row>
    <row r="98" spans="2:30" ht="18.75">
      <c r="B98" s="400" t="s">
        <v>413</v>
      </c>
      <c r="C98" s="400"/>
      <c r="D98" s="400"/>
      <c r="E98" s="400"/>
      <c r="F98" s="400"/>
      <c r="G98" s="400"/>
      <c r="H98" s="400"/>
      <c r="I98" s="298"/>
      <c r="J98" s="298"/>
      <c r="K98" s="383"/>
      <c r="L98" s="383"/>
      <c r="M98" s="383"/>
      <c r="N98" s="383"/>
      <c r="O98" s="383"/>
      <c r="P98" s="38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</row>
    <row r="99" spans="2:30" ht="18.75">
      <c r="B99" s="400" t="s">
        <v>414</v>
      </c>
      <c r="C99" s="400"/>
      <c r="D99" s="400"/>
      <c r="E99" s="400"/>
      <c r="F99" s="400"/>
      <c r="G99" s="400"/>
      <c r="H99" s="400"/>
      <c r="I99" s="298"/>
      <c r="J99" s="298"/>
      <c r="K99" s="383"/>
      <c r="L99" s="383"/>
      <c r="M99" s="383"/>
      <c r="N99" s="383"/>
      <c r="O99" s="383"/>
      <c r="P99" s="38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</row>
    <row r="100" spans="2:30" ht="18.75">
      <c r="B100" s="400" t="s">
        <v>415</v>
      </c>
      <c r="C100" s="400"/>
      <c r="D100" s="400"/>
      <c r="E100" s="400"/>
      <c r="F100" s="400"/>
      <c r="G100" s="400"/>
      <c r="H100" s="400"/>
      <c r="I100" s="298"/>
      <c r="J100" s="298"/>
      <c r="K100" s="383"/>
      <c r="L100" s="383"/>
      <c r="M100" s="383"/>
      <c r="N100" s="383"/>
      <c r="O100" s="383"/>
      <c r="P100" s="38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</row>
    <row r="101" spans="2:30" ht="18.75">
      <c r="B101" s="400" t="s">
        <v>416</v>
      </c>
      <c r="C101" s="400"/>
      <c r="D101" s="400"/>
      <c r="E101" s="400"/>
      <c r="F101" s="400"/>
      <c r="G101" s="400"/>
      <c r="H101" s="400"/>
      <c r="I101" s="298"/>
      <c r="J101" s="298"/>
      <c r="K101" s="383"/>
      <c r="L101" s="383"/>
      <c r="M101" s="383"/>
      <c r="N101" s="383"/>
      <c r="O101" s="383"/>
      <c r="P101" s="38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</row>
    <row r="102" spans="2:30" ht="18.75">
      <c r="B102" s="400" t="s">
        <v>475</v>
      </c>
      <c r="C102" s="400"/>
      <c r="D102" s="400"/>
      <c r="E102" s="400"/>
      <c r="F102" s="400"/>
      <c r="G102" s="400"/>
      <c r="H102" s="400"/>
      <c r="I102" s="298"/>
      <c r="J102" s="298"/>
      <c r="K102" s="383"/>
      <c r="L102" s="383"/>
      <c r="M102" s="383"/>
      <c r="N102" s="383"/>
      <c r="O102" s="383"/>
      <c r="P102" s="38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</row>
    <row r="103" spans="2:30" ht="18.75">
      <c r="B103" s="298" t="s">
        <v>501</v>
      </c>
      <c r="C103" s="400"/>
      <c r="D103" s="400"/>
      <c r="E103" s="400"/>
      <c r="F103" s="400"/>
      <c r="G103" s="400"/>
      <c r="H103" s="400"/>
      <c r="I103" s="298"/>
      <c r="J103" s="298"/>
      <c r="K103" s="383"/>
      <c r="L103" s="383"/>
      <c r="M103" s="383"/>
      <c r="N103" s="383"/>
      <c r="O103" s="383"/>
      <c r="P103" s="38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</row>
    <row r="104" spans="2:30" ht="18.75">
      <c r="B104" s="400" t="s">
        <v>417</v>
      </c>
      <c r="C104" s="400"/>
      <c r="D104" s="400"/>
      <c r="E104" s="400"/>
      <c r="F104" s="400"/>
      <c r="G104" s="400"/>
      <c r="H104" s="400"/>
      <c r="I104" s="298"/>
      <c r="J104" s="298"/>
      <c r="K104" s="383"/>
      <c r="L104" s="383"/>
      <c r="M104" s="383"/>
      <c r="N104" s="383"/>
      <c r="O104" s="383"/>
      <c r="P104" s="38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</row>
    <row r="105" spans="2:30" ht="18.75">
      <c r="B105" s="400" t="s">
        <v>476</v>
      </c>
      <c r="C105" s="400"/>
      <c r="D105" s="400"/>
      <c r="E105" s="400"/>
      <c r="F105" s="400"/>
      <c r="G105" s="400"/>
      <c r="H105" s="400"/>
      <c r="I105" s="298"/>
      <c r="J105" s="298"/>
      <c r="K105" s="383"/>
      <c r="L105" s="383"/>
      <c r="M105" s="383"/>
      <c r="N105" s="383"/>
      <c r="O105" s="383"/>
      <c r="P105" s="38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</row>
    <row r="106" spans="2:30" ht="18.75">
      <c r="B106" s="400" t="s">
        <v>477</v>
      </c>
      <c r="C106" s="400"/>
      <c r="D106" s="400"/>
      <c r="E106" s="400"/>
      <c r="F106" s="400"/>
      <c r="G106" s="400"/>
      <c r="H106" s="400"/>
      <c r="I106" s="298"/>
      <c r="J106" s="298"/>
      <c r="K106" s="383"/>
      <c r="L106" s="383"/>
      <c r="M106" s="383"/>
      <c r="N106" s="383"/>
      <c r="O106" s="383"/>
      <c r="P106" s="38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</row>
    <row r="107" spans="2:30" ht="18.75">
      <c r="B107" s="400" t="s">
        <v>408</v>
      </c>
      <c r="C107" s="400"/>
      <c r="D107" s="400"/>
      <c r="E107" s="400"/>
      <c r="F107" s="400"/>
      <c r="G107" s="400"/>
      <c r="H107" s="400"/>
      <c r="I107" s="298"/>
      <c r="J107" s="298"/>
      <c r="K107" s="383"/>
      <c r="L107" s="383"/>
      <c r="M107" s="383"/>
      <c r="N107" s="383"/>
      <c r="O107" s="383"/>
      <c r="P107" s="38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</row>
    <row r="108" spans="2:30" ht="18.75">
      <c r="B108" s="400" t="s">
        <v>478</v>
      </c>
      <c r="C108" s="400"/>
      <c r="D108" s="400"/>
      <c r="E108" s="400"/>
      <c r="F108" s="400"/>
      <c r="G108" s="400"/>
      <c r="H108" s="400"/>
      <c r="I108" s="298"/>
      <c r="J108" s="298"/>
      <c r="K108" s="383"/>
      <c r="L108" s="383"/>
      <c r="M108" s="383"/>
      <c r="N108" s="383"/>
      <c r="O108" s="383"/>
      <c r="P108" s="38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</row>
    <row r="109" spans="2:30" ht="18.75">
      <c r="B109" s="400" t="s">
        <v>479</v>
      </c>
      <c r="C109" s="400"/>
      <c r="D109" s="400"/>
      <c r="E109" s="400"/>
      <c r="F109" s="400"/>
      <c r="G109" s="400"/>
      <c r="H109" s="400"/>
      <c r="I109" s="298"/>
      <c r="J109" s="298"/>
      <c r="K109" s="383"/>
      <c r="L109" s="383"/>
      <c r="M109" s="383"/>
      <c r="N109" s="383"/>
      <c r="O109" s="383"/>
      <c r="P109" s="38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</row>
    <row r="110" spans="2:30" ht="18.75">
      <c r="B110" s="400" t="s">
        <v>480</v>
      </c>
      <c r="C110" s="400"/>
      <c r="D110" s="400"/>
      <c r="E110" s="400"/>
      <c r="F110" s="400"/>
      <c r="G110" s="400"/>
      <c r="H110" s="400"/>
      <c r="I110" s="298"/>
      <c r="J110" s="298"/>
      <c r="K110" s="383"/>
      <c r="L110" s="383"/>
      <c r="M110" s="383"/>
      <c r="N110" s="383"/>
      <c r="O110" s="383"/>
      <c r="P110" s="38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</row>
    <row r="111" spans="2:30" ht="18.75">
      <c r="B111" s="400" t="s">
        <v>481</v>
      </c>
      <c r="C111" s="400"/>
      <c r="D111" s="400"/>
      <c r="E111" s="400"/>
      <c r="F111" s="400"/>
      <c r="G111" s="400"/>
      <c r="H111" s="400"/>
      <c r="I111" s="298"/>
      <c r="J111" s="298"/>
      <c r="K111" s="383"/>
      <c r="L111" s="383"/>
      <c r="M111" s="383"/>
      <c r="N111" s="383"/>
      <c r="O111" s="383"/>
      <c r="P111" s="38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</row>
    <row r="112" spans="2:30" ht="18.75">
      <c r="B112" s="298" t="s">
        <v>349</v>
      </c>
      <c r="C112" s="383"/>
      <c r="D112" s="383"/>
      <c r="E112" s="383"/>
      <c r="F112" s="38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</row>
    <row r="113" spans="2:30" ht="18.75">
      <c r="B113" s="298" t="s">
        <v>418</v>
      </c>
      <c r="C113" s="383"/>
      <c r="D113" s="383"/>
      <c r="E113" s="383"/>
      <c r="F113" s="38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</row>
    <row r="114" spans="2:30" ht="20.25">
      <c r="B114" s="400" t="s">
        <v>419</v>
      </c>
      <c r="C114" s="383"/>
      <c r="D114" s="383"/>
      <c r="E114" s="383"/>
      <c r="F114" s="383"/>
      <c r="G114" s="27"/>
      <c r="H114" s="46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</row>
    <row r="115" spans="2:30" ht="20.25">
      <c r="B115" s="400" t="s">
        <v>420</v>
      </c>
      <c r="C115" s="463"/>
      <c r="D115" s="463"/>
      <c r="E115" s="463"/>
      <c r="F115" s="463"/>
      <c r="G115" s="27"/>
      <c r="H115" s="46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</row>
    <row r="116" spans="2:30" ht="18.75">
      <c r="B116" s="298" t="s">
        <v>421</v>
      </c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</row>
    <row r="117" spans="2:30" ht="20.25">
      <c r="B117" s="400" t="s">
        <v>422</v>
      </c>
      <c r="C117" s="463"/>
      <c r="D117" s="463"/>
      <c r="E117" s="463"/>
      <c r="F117" s="463"/>
      <c r="G117" s="27"/>
      <c r="H117" s="46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</row>
    <row r="118" spans="2:30" ht="20.25">
      <c r="B118" s="400" t="s">
        <v>423</v>
      </c>
      <c r="C118" s="463"/>
      <c r="D118" s="463"/>
      <c r="E118" s="463"/>
      <c r="F118" s="463"/>
      <c r="G118" s="27"/>
      <c r="H118" s="46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</row>
    <row r="119" spans="2:30" ht="21">
      <c r="B119" s="465" t="s">
        <v>424</v>
      </c>
      <c r="C119" s="464"/>
      <c r="D119" s="464"/>
      <c r="E119" s="464"/>
      <c r="F119" s="464"/>
      <c r="G119" s="464"/>
      <c r="H119" s="464"/>
      <c r="I119" s="464"/>
      <c r="J119" s="464"/>
      <c r="K119" s="464"/>
      <c r="L119" s="464"/>
      <c r="M119" s="464"/>
      <c r="N119" s="464"/>
      <c r="O119" s="464"/>
      <c r="P119" s="464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</row>
    <row r="120" spans="2:30" ht="18.75">
      <c r="B120" s="466" t="s">
        <v>425</v>
      </c>
      <c r="C120" s="26"/>
      <c r="D120" s="26"/>
      <c r="E120" s="26"/>
      <c r="F120" s="26"/>
      <c r="G120" s="466"/>
      <c r="H120" s="466"/>
      <c r="I120" s="466"/>
      <c r="J120" s="466"/>
      <c r="K120" s="466"/>
      <c r="L120" s="466"/>
      <c r="M120" s="466"/>
      <c r="N120" s="466"/>
      <c r="O120" s="466"/>
      <c r="P120" s="466"/>
      <c r="Q120" s="9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</row>
    <row r="121" spans="2:30">
      <c r="B121" s="293"/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</row>
    <row r="122" spans="2:30" ht="21">
      <c r="B122" s="293"/>
      <c r="C122" s="25" t="s">
        <v>493</v>
      </c>
      <c r="D122" s="25"/>
      <c r="E122" s="25"/>
      <c r="F122" s="25"/>
      <c r="G122" s="464"/>
      <c r="H122" s="293"/>
      <c r="I122" s="293"/>
      <c r="J122" s="293"/>
      <c r="K122" s="293"/>
      <c r="L122" s="293"/>
      <c r="M122" s="293"/>
      <c r="W122" s="293"/>
      <c r="X122" s="293"/>
      <c r="Y122" s="293"/>
      <c r="Z122" s="293"/>
      <c r="AA122" s="293"/>
      <c r="AB122" s="293"/>
      <c r="AC122" s="293"/>
      <c r="AD122" s="293"/>
    </row>
    <row r="124" spans="2:30" ht="18.75">
      <c r="M124" s="8" t="s">
        <v>122</v>
      </c>
      <c r="N124" s="293"/>
      <c r="O124" s="293"/>
      <c r="P124" s="293"/>
      <c r="Q124" s="293"/>
      <c r="R124" s="293"/>
      <c r="S124" s="293"/>
      <c r="T124" s="293"/>
      <c r="U124" s="293"/>
    </row>
  </sheetData>
  <mergeCells count="48">
    <mergeCell ref="Z6:Z9"/>
    <mergeCell ref="AA6:AA9"/>
    <mergeCell ref="AB6:AB9"/>
    <mergeCell ref="AC6:AC9"/>
    <mergeCell ref="M8:N8"/>
    <mergeCell ref="O8:O9"/>
    <mergeCell ref="P8:Q8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12:F12"/>
    <mergeCell ref="B47:D47"/>
    <mergeCell ref="A30:F30"/>
    <mergeCell ref="A18:F18"/>
    <mergeCell ref="A51:AE51"/>
    <mergeCell ref="B46:D46"/>
    <mergeCell ref="B44:D44"/>
    <mergeCell ref="B43:D43"/>
    <mergeCell ref="A49:F49"/>
    <mergeCell ref="A48:F48"/>
    <mergeCell ref="A34:F34"/>
    <mergeCell ref="A38:F38"/>
    <mergeCell ref="A41:F41"/>
    <mergeCell ref="B45:D45"/>
  </mergeCells>
  <pageMargins left="0.23622047244094491" right="0.23622047244094491" top="0" bottom="0" header="0.31496062992125984" footer="0.31496062992125984"/>
  <pageSetup paperSize="9" scale="46" fitToHeight="0" orientation="landscape" r:id="rId1"/>
  <rowBreaks count="1" manualBreakCount="1">
    <brk id="84" max="16383" man="1"/>
  </rowBreaks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3"/>
  <sheetViews>
    <sheetView topLeftCell="A16" zoomScale="90" zoomScaleNormal="90" workbookViewId="0">
      <selection activeCell="C32" sqref="C32:C36"/>
    </sheetView>
  </sheetViews>
  <sheetFormatPr defaultRowHeight="15"/>
  <cols>
    <col min="1" max="1" width="5.5703125" customWidth="1"/>
    <col min="2" max="2" width="45.7109375" customWidth="1"/>
    <col min="3" max="3" width="19.140625" customWidth="1"/>
    <col min="4" max="4" width="4.140625" customWidth="1"/>
    <col min="5" max="5" width="9.140625" customWidth="1"/>
    <col min="6" max="6" width="8.7109375" customWidth="1"/>
    <col min="7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5.5">
      <c r="A1" s="608" t="s">
        <v>376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</row>
    <row r="2" spans="1:31" ht="58.5" customHeight="1">
      <c r="A2" s="635" t="s">
        <v>503</v>
      </c>
      <c r="B2" s="635"/>
      <c r="C2" s="347" t="s">
        <v>341</v>
      </c>
      <c r="D2" s="333"/>
      <c r="E2" s="348"/>
      <c r="F2" s="348"/>
      <c r="G2" s="348"/>
      <c r="H2" s="636" t="s">
        <v>192</v>
      </c>
      <c r="I2" s="636"/>
      <c r="J2" s="636"/>
      <c r="K2" s="636"/>
      <c r="L2" s="636"/>
      <c r="M2" s="636"/>
      <c r="N2" s="636"/>
      <c r="O2" s="636"/>
      <c r="P2" s="636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</row>
    <row r="3" spans="1:31" ht="24.75" customHeight="1">
      <c r="A3" s="637" t="s">
        <v>342</v>
      </c>
      <c r="B3" s="637"/>
      <c r="C3" s="350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</row>
    <row r="4" spans="1:31" ht="15" customHeight="1">
      <c r="A4" s="351"/>
      <c r="B4" s="410" t="s">
        <v>333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</row>
    <row r="5" spans="1:31" ht="15" customHeight="1">
      <c r="A5" s="655"/>
      <c r="B5" s="656"/>
      <c r="C5" s="656"/>
      <c r="D5" s="656"/>
      <c r="E5" s="656"/>
      <c r="F5" s="657"/>
      <c r="G5" s="745" t="s">
        <v>103</v>
      </c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60"/>
    </row>
    <row r="6" spans="1:31" ht="18" customHeight="1">
      <c r="A6" s="661" t="s">
        <v>0</v>
      </c>
      <c r="B6" s="587" t="s">
        <v>4</v>
      </c>
      <c r="C6" s="587" t="s">
        <v>1</v>
      </c>
      <c r="D6" s="663" t="s">
        <v>8</v>
      </c>
      <c r="E6" s="663"/>
      <c r="F6" s="663"/>
      <c r="G6" s="354"/>
      <c r="H6" s="354"/>
      <c r="I6" s="354"/>
      <c r="J6" s="354"/>
      <c r="K6" s="354"/>
      <c r="L6" s="354"/>
      <c r="M6" s="354"/>
      <c r="N6" s="354"/>
      <c r="O6" s="354" t="s">
        <v>193</v>
      </c>
      <c r="P6" s="354"/>
      <c r="Q6" s="354"/>
      <c r="R6" s="354"/>
      <c r="S6" s="354"/>
      <c r="T6" s="354"/>
      <c r="U6" s="354"/>
      <c r="V6" s="354"/>
      <c r="W6" s="354"/>
      <c r="X6" s="354"/>
      <c r="Y6" s="593" t="s">
        <v>5</v>
      </c>
      <c r="Z6" s="593" t="s">
        <v>89</v>
      </c>
      <c r="AA6" s="593" t="s">
        <v>88</v>
      </c>
      <c r="AB6" s="593" t="s">
        <v>94</v>
      </c>
      <c r="AC6" s="593" t="s">
        <v>90</v>
      </c>
      <c r="AD6" s="593" t="s">
        <v>14</v>
      </c>
      <c r="AE6" s="593" t="s">
        <v>6</v>
      </c>
    </row>
    <row r="7" spans="1:31">
      <c r="A7" s="661"/>
      <c r="B7" s="587"/>
      <c r="C7" s="587"/>
      <c r="D7" s="663"/>
      <c r="E7" s="663"/>
      <c r="F7" s="663"/>
      <c r="G7" s="601" t="s">
        <v>239</v>
      </c>
      <c r="H7" s="602"/>
      <c r="I7" s="602"/>
      <c r="J7" s="602"/>
      <c r="K7" s="602"/>
      <c r="L7" s="602"/>
      <c r="M7" s="602"/>
      <c r="N7" s="602"/>
      <c r="O7" s="603"/>
      <c r="P7" s="596" t="s">
        <v>240</v>
      </c>
      <c r="Q7" s="616"/>
      <c r="R7" s="616"/>
      <c r="S7" s="616"/>
      <c r="T7" s="616"/>
      <c r="U7" s="616"/>
      <c r="V7" s="616"/>
      <c r="W7" s="616"/>
      <c r="X7" s="597"/>
      <c r="Y7" s="594"/>
      <c r="Z7" s="594"/>
      <c r="AA7" s="594"/>
      <c r="AB7" s="594"/>
      <c r="AC7" s="594"/>
      <c r="AD7" s="594"/>
      <c r="AE7" s="594"/>
    </row>
    <row r="8" spans="1:31" ht="22.5" customHeight="1">
      <c r="A8" s="662"/>
      <c r="B8" s="585"/>
      <c r="C8" s="585"/>
      <c r="D8" s="585" t="s">
        <v>2</v>
      </c>
      <c r="E8" s="585" t="s">
        <v>13</v>
      </c>
      <c r="F8" s="585" t="s">
        <v>12</v>
      </c>
      <c r="G8" s="601" t="s">
        <v>334</v>
      </c>
      <c r="H8" s="603"/>
      <c r="I8" s="601" t="s">
        <v>335</v>
      </c>
      <c r="J8" s="603"/>
      <c r="K8" s="601" t="s">
        <v>336</v>
      </c>
      <c r="L8" s="603"/>
      <c r="M8" s="601" t="s">
        <v>337</v>
      </c>
      <c r="N8" s="603"/>
      <c r="O8" s="620" t="s">
        <v>7</v>
      </c>
      <c r="P8" s="596" t="s">
        <v>334</v>
      </c>
      <c r="Q8" s="597"/>
      <c r="R8" s="596" t="s">
        <v>335</v>
      </c>
      <c r="S8" s="597"/>
      <c r="T8" s="596" t="s">
        <v>336</v>
      </c>
      <c r="U8" s="597"/>
      <c r="V8" s="596" t="s">
        <v>337</v>
      </c>
      <c r="W8" s="597"/>
      <c r="X8" s="598" t="s">
        <v>7</v>
      </c>
      <c r="Y8" s="594"/>
      <c r="Z8" s="594"/>
      <c r="AA8" s="594"/>
      <c r="AB8" s="594"/>
      <c r="AC8" s="594"/>
      <c r="AD8" s="594"/>
      <c r="AE8" s="594"/>
    </row>
    <row r="9" spans="1:31" ht="43.5" customHeight="1">
      <c r="A9" s="662"/>
      <c r="B9" s="585"/>
      <c r="C9" s="585"/>
      <c r="D9" s="682"/>
      <c r="E9" s="682"/>
      <c r="F9" s="682"/>
      <c r="G9" s="405" t="s">
        <v>15</v>
      </c>
      <c r="H9" s="405" t="s">
        <v>16</v>
      </c>
      <c r="I9" s="405" t="s">
        <v>15</v>
      </c>
      <c r="J9" s="405" t="s">
        <v>16</v>
      </c>
      <c r="K9" s="405" t="s">
        <v>15</v>
      </c>
      <c r="L9" s="405" t="s">
        <v>16</v>
      </c>
      <c r="M9" s="405" t="s">
        <v>15</v>
      </c>
      <c r="N9" s="405" t="s">
        <v>16</v>
      </c>
      <c r="O9" s="694"/>
      <c r="P9" s="406" t="s">
        <v>15</v>
      </c>
      <c r="Q9" s="406" t="s">
        <v>16</v>
      </c>
      <c r="R9" s="406" t="s">
        <v>15</v>
      </c>
      <c r="S9" s="406" t="s">
        <v>16</v>
      </c>
      <c r="T9" s="406" t="s">
        <v>15</v>
      </c>
      <c r="U9" s="406" t="s">
        <v>16</v>
      </c>
      <c r="V9" s="406" t="s">
        <v>15</v>
      </c>
      <c r="W9" s="406" t="s">
        <v>16</v>
      </c>
      <c r="X9" s="683"/>
      <c r="Y9" s="594"/>
      <c r="Z9" s="594"/>
      <c r="AA9" s="594"/>
      <c r="AB9" s="594"/>
      <c r="AC9" s="594"/>
      <c r="AD9" s="594"/>
      <c r="AE9" s="594"/>
    </row>
    <row r="10" spans="1:31" s="65" customFormat="1" ht="24.75" customHeight="1">
      <c r="A10" s="411" t="s">
        <v>395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3"/>
    </row>
    <row r="11" spans="1:31" ht="29.25" customHeight="1">
      <c r="A11" s="414">
        <v>8.1</v>
      </c>
      <c r="B11" s="125" t="s">
        <v>80</v>
      </c>
      <c r="C11" s="161" t="str">
        <f>RAZEM!C71</f>
        <v>0912-7LEK-C8,1-C</v>
      </c>
      <c r="D11" s="415">
        <v>11</v>
      </c>
      <c r="E11" s="416">
        <v>11</v>
      </c>
      <c r="F11" s="416"/>
      <c r="G11" s="417"/>
      <c r="H11" s="417"/>
      <c r="I11" s="417"/>
      <c r="J11" s="417"/>
      <c r="K11" s="417">
        <v>240</v>
      </c>
      <c r="L11" s="417">
        <v>160</v>
      </c>
      <c r="M11" s="417"/>
      <c r="N11" s="417"/>
      <c r="O11" s="417">
        <v>16</v>
      </c>
      <c r="P11" s="418"/>
      <c r="Q11" s="418"/>
      <c r="R11" s="418"/>
      <c r="S11" s="418"/>
      <c r="T11" s="418"/>
      <c r="U11" s="418"/>
      <c r="V11" s="418"/>
      <c r="W11" s="418"/>
      <c r="X11" s="418"/>
      <c r="Y11" s="419">
        <f>SUM(G11,I11,K11,M11,P11,R11,T11,V11)</f>
        <v>240</v>
      </c>
      <c r="Z11" s="419">
        <f>SUM(G11,P11)</f>
        <v>0</v>
      </c>
      <c r="AA11" s="419">
        <f>SUM(I11,R11)</f>
        <v>0</v>
      </c>
      <c r="AB11" s="419">
        <f>SUM(K11,T11)</f>
        <v>240</v>
      </c>
      <c r="AC11" s="419">
        <f>SUM(M11,V11)</f>
        <v>0</v>
      </c>
      <c r="AD11" s="419">
        <f>SUM(G11:N11,P11:W11)</f>
        <v>400</v>
      </c>
      <c r="AE11" s="419">
        <f>SUM(O11,X11)</f>
        <v>16</v>
      </c>
    </row>
    <row r="12" spans="1:31" ht="29.25" customHeight="1">
      <c r="A12" s="420">
        <v>8.1999999999999993</v>
      </c>
      <c r="B12" s="124" t="s">
        <v>51</v>
      </c>
      <c r="C12" s="161" t="str">
        <f>RAZEM!C72</f>
        <v>0912-7LEK-C8,2-P</v>
      </c>
      <c r="D12" s="421">
        <v>11</v>
      </c>
      <c r="E12" s="422">
        <v>11</v>
      </c>
      <c r="F12" s="422"/>
      <c r="G12" s="54"/>
      <c r="H12" s="54"/>
      <c r="I12" s="54"/>
      <c r="J12" s="54"/>
      <c r="K12" s="54">
        <v>120</v>
      </c>
      <c r="L12" s="54">
        <v>80</v>
      </c>
      <c r="M12" s="54"/>
      <c r="N12" s="54"/>
      <c r="O12" s="54">
        <v>8</v>
      </c>
      <c r="P12" s="55"/>
      <c r="Q12" s="55"/>
      <c r="R12" s="55"/>
      <c r="S12" s="55"/>
      <c r="T12" s="55"/>
      <c r="U12" s="55"/>
      <c r="V12" s="55"/>
      <c r="W12" s="55"/>
      <c r="X12" s="55"/>
      <c r="Y12" s="44">
        <f t="shared" ref="Y12:Y17" si="0">SUM(G12,I12,K12,M12,P12,R12,T12,V12)</f>
        <v>120</v>
      </c>
      <c r="Z12" s="44">
        <f t="shared" ref="Z12:Z17" si="1">SUM(G12,P12)</f>
        <v>0</v>
      </c>
      <c r="AA12" s="44">
        <f t="shared" ref="AA12:AA17" si="2">SUM(I12,R12)</f>
        <v>0</v>
      </c>
      <c r="AB12" s="44">
        <f t="shared" ref="AB12:AB17" si="3">SUM(K12,T12)</f>
        <v>120</v>
      </c>
      <c r="AC12" s="44">
        <f t="shared" ref="AC12:AC17" si="4">SUM(M12,V12)</f>
        <v>0</v>
      </c>
      <c r="AD12" s="44">
        <f t="shared" ref="AD12:AD17" si="5">SUM(G12:N12,P12:W12)</f>
        <v>200</v>
      </c>
      <c r="AE12" s="44">
        <f t="shared" ref="AE12:AE17" si="6">SUM(O12,X12)</f>
        <v>8</v>
      </c>
    </row>
    <row r="13" spans="1:31" ht="29.25" customHeight="1">
      <c r="A13" s="420">
        <v>8.3000000000000007</v>
      </c>
      <c r="B13" s="124" t="s">
        <v>81</v>
      </c>
      <c r="C13" s="161" t="str">
        <f>RAZEM!C73</f>
        <v>0912-7LEK-C8,3-C</v>
      </c>
      <c r="D13" s="421">
        <v>12</v>
      </c>
      <c r="E13" s="422" t="s">
        <v>32</v>
      </c>
      <c r="F13" s="422"/>
      <c r="G13" s="54"/>
      <c r="H13" s="54"/>
      <c r="I13" s="54"/>
      <c r="J13" s="54"/>
      <c r="K13" s="54">
        <v>60</v>
      </c>
      <c r="L13" s="54">
        <v>40</v>
      </c>
      <c r="M13" s="54"/>
      <c r="N13" s="54"/>
      <c r="O13" s="54">
        <v>4</v>
      </c>
      <c r="P13" s="55"/>
      <c r="Q13" s="55"/>
      <c r="R13" s="55"/>
      <c r="S13" s="55"/>
      <c r="T13" s="55">
        <v>60</v>
      </c>
      <c r="U13" s="55">
        <v>40</v>
      </c>
      <c r="V13" s="55"/>
      <c r="W13" s="55"/>
      <c r="X13" s="55">
        <v>4</v>
      </c>
      <c r="Y13" s="44">
        <f t="shared" si="0"/>
        <v>120</v>
      </c>
      <c r="Z13" s="44">
        <f t="shared" si="1"/>
        <v>0</v>
      </c>
      <c r="AA13" s="44">
        <f t="shared" si="2"/>
        <v>0</v>
      </c>
      <c r="AB13" s="44">
        <f t="shared" si="3"/>
        <v>120</v>
      </c>
      <c r="AC13" s="44">
        <f t="shared" si="4"/>
        <v>0</v>
      </c>
      <c r="AD13" s="44">
        <f t="shared" si="5"/>
        <v>200</v>
      </c>
      <c r="AE13" s="44">
        <f t="shared" si="6"/>
        <v>8</v>
      </c>
    </row>
    <row r="14" spans="1:31" ht="29.25" customHeight="1">
      <c r="A14" s="420">
        <v>8.4</v>
      </c>
      <c r="B14" s="124" t="s">
        <v>70</v>
      </c>
      <c r="C14" s="161" t="str">
        <f>RAZEM!C74</f>
        <v>0912-7LEK-C8,4-G</v>
      </c>
      <c r="D14" s="421">
        <v>12</v>
      </c>
      <c r="E14" s="422">
        <v>12</v>
      </c>
      <c r="F14" s="422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55"/>
      <c r="R14" s="55"/>
      <c r="S14" s="55"/>
      <c r="T14" s="55">
        <v>60</v>
      </c>
      <c r="U14" s="55">
        <v>40</v>
      </c>
      <c r="V14" s="55"/>
      <c r="W14" s="55"/>
      <c r="X14" s="55">
        <v>4</v>
      </c>
      <c r="Y14" s="44">
        <f t="shared" si="0"/>
        <v>60</v>
      </c>
      <c r="Z14" s="44">
        <f t="shared" si="1"/>
        <v>0</v>
      </c>
      <c r="AA14" s="44">
        <f t="shared" si="2"/>
        <v>0</v>
      </c>
      <c r="AB14" s="44">
        <f t="shared" si="3"/>
        <v>60</v>
      </c>
      <c r="AC14" s="44">
        <f t="shared" si="4"/>
        <v>0</v>
      </c>
      <c r="AD14" s="44">
        <f t="shared" si="5"/>
        <v>100</v>
      </c>
      <c r="AE14" s="44">
        <f t="shared" si="6"/>
        <v>4</v>
      </c>
    </row>
    <row r="15" spans="1:31" ht="29.25" customHeight="1">
      <c r="A15" s="420">
        <v>8.5</v>
      </c>
      <c r="B15" s="124" t="s">
        <v>54</v>
      </c>
      <c r="C15" s="161" t="str">
        <f>RAZEM!C75</f>
        <v>0912-7LEK-C8,5-P</v>
      </c>
      <c r="D15" s="421">
        <v>11</v>
      </c>
      <c r="E15" s="422">
        <v>11</v>
      </c>
      <c r="F15" s="422"/>
      <c r="G15" s="54"/>
      <c r="H15" s="54"/>
      <c r="I15" s="54"/>
      <c r="J15" s="54"/>
      <c r="K15" s="54">
        <v>60</v>
      </c>
      <c r="L15" s="54">
        <v>40</v>
      </c>
      <c r="M15" s="54"/>
      <c r="N15" s="54"/>
      <c r="O15" s="54">
        <v>4</v>
      </c>
      <c r="P15" s="55"/>
      <c r="Q15" s="55"/>
      <c r="R15" s="55"/>
      <c r="S15" s="55"/>
      <c r="T15" s="55"/>
      <c r="U15" s="55"/>
      <c r="V15" s="55"/>
      <c r="W15" s="55"/>
      <c r="X15" s="55"/>
      <c r="Y15" s="44">
        <f t="shared" si="0"/>
        <v>60</v>
      </c>
      <c r="Z15" s="44">
        <f t="shared" si="1"/>
        <v>0</v>
      </c>
      <c r="AA15" s="44">
        <f t="shared" si="2"/>
        <v>0</v>
      </c>
      <c r="AB15" s="44">
        <f t="shared" si="3"/>
        <v>60</v>
      </c>
      <c r="AC15" s="44">
        <f t="shared" si="4"/>
        <v>0</v>
      </c>
      <c r="AD15" s="44">
        <f t="shared" si="5"/>
        <v>100</v>
      </c>
      <c r="AE15" s="44">
        <f t="shared" si="6"/>
        <v>4</v>
      </c>
    </row>
    <row r="16" spans="1:31" ht="29.25" customHeight="1">
      <c r="A16" s="420">
        <v>8.6</v>
      </c>
      <c r="B16" s="124" t="s">
        <v>82</v>
      </c>
      <c r="C16" s="161" t="str">
        <f>RAZEM!C76</f>
        <v>0912-7LEK-C8,6-MR</v>
      </c>
      <c r="D16" s="421">
        <v>12</v>
      </c>
      <c r="E16" s="422">
        <v>12</v>
      </c>
      <c r="F16" s="422"/>
      <c r="G16" s="54"/>
      <c r="H16" s="54"/>
      <c r="I16" s="54"/>
      <c r="J16" s="54"/>
      <c r="K16" s="54"/>
      <c r="L16" s="54"/>
      <c r="M16" s="54"/>
      <c r="N16" s="54"/>
      <c r="O16" s="54"/>
      <c r="P16" s="55"/>
      <c r="Q16" s="55"/>
      <c r="R16" s="55"/>
      <c r="S16" s="55"/>
      <c r="T16" s="55">
        <v>60</v>
      </c>
      <c r="U16" s="55">
        <v>40</v>
      </c>
      <c r="V16" s="55"/>
      <c r="W16" s="55"/>
      <c r="X16" s="55">
        <v>4</v>
      </c>
      <c r="Y16" s="44">
        <f t="shared" si="0"/>
        <v>60</v>
      </c>
      <c r="Z16" s="44">
        <f t="shared" si="1"/>
        <v>0</v>
      </c>
      <c r="AA16" s="44">
        <f t="shared" si="2"/>
        <v>0</v>
      </c>
      <c r="AB16" s="44">
        <f t="shared" si="3"/>
        <v>60</v>
      </c>
      <c r="AC16" s="44">
        <f t="shared" si="4"/>
        <v>0</v>
      </c>
      <c r="AD16" s="44">
        <f t="shared" si="5"/>
        <v>100</v>
      </c>
      <c r="AE16" s="44">
        <f t="shared" si="6"/>
        <v>4</v>
      </c>
    </row>
    <row r="17" spans="1:31" ht="29.25" customHeight="1">
      <c r="A17" s="420">
        <v>8.6999999999999993</v>
      </c>
      <c r="B17" s="124" t="s">
        <v>56</v>
      </c>
      <c r="C17" s="161" t="str">
        <f>RAZEM!C77</f>
        <v>0912-7LEK-C8,7-M</v>
      </c>
      <c r="D17" s="421">
        <v>12</v>
      </c>
      <c r="E17" s="422">
        <v>12</v>
      </c>
      <c r="F17" s="422"/>
      <c r="G17" s="54"/>
      <c r="H17" s="54"/>
      <c r="I17" s="54"/>
      <c r="J17" s="54"/>
      <c r="K17" s="54"/>
      <c r="L17" s="54"/>
      <c r="M17" s="54"/>
      <c r="N17" s="54"/>
      <c r="O17" s="54"/>
      <c r="P17" s="55"/>
      <c r="Q17" s="55"/>
      <c r="R17" s="55"/>
      <c r="S17" s="55"/>
      <c r="T17" s="55">
        <v>60</v>
      </c>
      <c r="U17" s="55">
        <v>40</v>
      </c>
      <c r="V17" s="55"/>
      <c r="W17" s="55"/>
      <c r="X17" s="55">
        <v>4</v>
      </c>
      <c r="Y17" s="44">
        <f t="shared" si="0"/>
        <v>60</v>
      </c>
      <c r="Z17" s="44">
        <f t="shared" si="1"/>
        <v>0</v>
      </c>
      <c r="AA17" s="44">
        <f t="shared" si="2"/>
        <v>0</v>
      </c>
      <c r="AB17" s="44">
        <f t="shared" si="3"/>
        <v>60</v>
      </c>
      <c r="AC17" s="44">
        <f t="shared" si="4"/>
        <v>0</v>
      </c>
      <c r="AD17" s="44">
        <f t="shared" si="5"/>
        <v>100</v>
      </c>
      <c r="AE17" s="44">
        <f t="shared" si="6"/>
        <v>4</v>
      </c>
    </row>
    <row r="18" spans="1:31" ht="29.25" customHeight="1">
      <c r="A18" s="420">
        <v>8.8000000000000007</v>
      </c>
      <c r="B18" s="124" t="s">
        <v>33</v>
      </c>
      <c r="C18" s="161" t="str">
        <f>RAZEM!C78</f>
        <v>0912-7LEK-C8,8-S</v>
      </c>
      <c r="D18" s="421">
        <v>12</v>
      </c>
      <c r="E18" s="422">
        <v>12</v>
      </c>
      <c r="F18" s="422"/>
      <c r="G18" s="54"/>
      <c r="H18" s="54"/>
      <c r="I18" s="54"/>
      <c r="J18" s="54"/>
      <c r="K18" s="54"/>
      <c r="L18" s="54"/>
      <c r="M18" s="54"/>
      <c r="N18" s="54"/>
      <c r="O18" s="54"/>
      <c r="P18" s="55"/>
      <c r="Q18" s="55"/>
      <c r="R18" s="55"/>
      <c r="S18" s="55"/>
      <c r="T18" s="55">
        <v>180</v>
      </c>
      <c r="U18" s="55">
        <v>120</v>
      </c>
      <c r="V18" s="55"/>
      <c r="W18" s="55"/>
      <c r="X18" s="55">
        <v>12</v>
      </c>
      <c r="Y18" s="44">
        <f>SUM(G18,I18,K18,M18,P18,R18,T18,V18)</f>
        <v>180</v>
      </c>
      <c r="Z18" s="44">
        <f>SUM(G18,P18)</f>
        <v>0</v>
      </c>
      <c r="AA18" s="44">
        <f>SUM(I18,R18)</f>
        <v>0</v>
      </c>
      <c r="AB18" s="44">
        <f>SUM(K18,T18)</f>
        <v>180</v>
      </c>
      <c r="AC18" s="44">
        <f>SUM(M18,V18)</f>
        <v>0</v>
      </c>
      <c r="AD18" s="44">
        <f>SUM(G18:N18,P18:W18)</f>
        <v>300</v>
      </c>
      <c r="AE18" s="44">
        <f>SUM(O18,X18)</f>
        <v>12</v>
      </c>
    </row>
    <row r="19" spans="1:31" ht="29.25" customHeight="1">
      <c r="A19" s="580" t="s">
        <v>9</v>
      </c>
      <c r="B19" s="581"/>
      <c r="C19" s="581"/>
      <c r="D19" s="581"/>
      <c r="E19" s="581"/>
      <c r="F19" s="582"/>
      <c r="G19" s="61">
        <f t="shared" ref="G19:AE19" si="7">SUM(G11:G18)</f>
        <v>0</v>
      </c>
      <c r="H19" s="61">
        <f t="shared" si="7"/>
        <v>0</v>
      </c>
      <c r="I19" s="61">
        <f t="shared" si="7"/>
        <v>0</v>
      </c>
      <c r="J19" s="61">
        <f t="shared" si="7"/>
        <v>0</v>
      </c>
      <c r="K19" s="61">
        <f t="shared" si="7"/>
        <v>480</v>
      </c>
      <c r="L19" s="61">
        <f t="shared" si="7"/>
        <v>320</v>
      </c>
      <c r="M19" s="61">
        <f t="shared" si="7"/>
        <v>0</v>
      </c>
      <c r="N19" s="61">
        <f t="shared" si="7"/>
        <v>0</v>
      </c>
      <c r="O19" s="61">
        <f t="shared" si="7"/>
        <v>32</v>
      </c>
      <c r="P19" s="61">
        <f t="shared" si="7"/>
        <v>0</v>
      </c>
      <c r="Q19" s="61">
        <f t="shared" si="7"/>
        <v>0</v>
      </c>
      <c r="R19" s="61">
        <f t="shared" si="7"/>
        <v>0</v>
      </c>
      <c r="S19" s="61">
        <f t="shared" si="7"/>
        <v>0</v>
      </c>
      <c r="T19" s="61">
        <f t="shared" si="7"/>
        <v>420</v>
      </c>
      <c r="U19" s="61">
        <f t="shared" si="7"/>
        <v>280</v>
      </c>
      <c r="V19" s="61">
        <f t="shared" si="7"/>
        <v>0</v>
      </c>
      <c r="W19" s="61">
        <f t="shared" si="7"/>
        <v>0</v>
      </c>
      <c r="X19" s="61">
        <f t="shared" si="7"/>
        <v>28</v>
      </c>
      <c r="Y19" s="61">
        <f t="shared" si="7"/>
        <v>900</v>
      </c>
      <c r="Z19" s="61">
        <f t="shared" si="7"/>
        <v>0</v>
      </c>
      <c r="AA19" s="61">
        <f t="shared" si="7"/>
        <v>0</v>
      </c>
      <c r="AB19" s="61">
        <f t="shared" si="7"/>
        <v>900</v>
      </c>
      <c r="AC19" s="61">
        <f t="shared" si="7"/>
        <v>0</v>
      </c>
      <c r="AD19" s="61">
        <f t="shared" si="7"/>
        <v>1500</v>
      </c>
      <c r="AE19" s="61">
        <f t="shared" si="7"/>
        <v>60</v>
      </c>
    </row>
    <row r="20" spans="1:31" ht="29.25" hidden="1" customHeight="1">
      <c r="A20" s="316" t="s">
        <v>301</v>
      </c>
      <c r="B20" s="317"/>
      <c r="C20" s="318"/>
      <c r="D20" s="362"/>
      <c r="E20" s="362"/>
      <c r="F20" s="362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63"/>
    </row>
    <row r="21" spans="1:31" ht="29.25" hidden="1" customHeight="1">
      <c r="A21" s="53">
        <v>11.3</v>
      </c>
      <c r="B21" s="19" t="s">
        <v>108</v>
      </c>
      <c r="C21" s="161" t="str">
        <f>"0912-7LEK-A"&amp;A21&amp;"-"&amp;UPPER(LEFT(B21,1))&amp;"F"</f>
        <v>0912-7LEK-A11,3-WF</v>
      </c>
      <c r="D21" s="312"/>
      <c r="E21" s="387"/>
      <c r="F21" s="423" t="s">
        <v>120</v>
      </c>
      <c r="G21" s="54"/>
      <c r="H21" s="54"/>
      <c r="I21" s="54">
        <v>0</v>
      </c>
      <c r="J21" s="54"/>
      <c r="K21" s="54"/>
      <c r="L21" s="54"/>
      <c r="M21" s="54"/>
      <c r="N21" s="54"/>
      <c r="O21" s="54">
        <v>0</v>
      </c>
      <c r="P21" s="55"/>
      <c r="Q21" s="55"/>
      <c r="R21" s="55"/>
      <c r="S21" s="55"/>
      <c r="T21" s="55"/>
      <c r="U21" s="55"/>
      <c r="V21" s="55"/>
      <c r="W21" s="55"/>
      <c r="X21" s="55">
        <v>0</v>
      </c>
      <c r="Y21" s="379">
        <f>SUM(G21,I21,K21,M21,P21,R21,T21,V21)</f>
        <v>0</v>
      </c>
      <c r="Z21" s="379">
        <f>SUM(G21,P21)</f>
        <v>0</v>
      </c>
      <c r="AA21" s="379">
        <f>SUM(I21,R21)</f>
        <v>0</v>
      </c>
      <c r="AB21" s="379">
        <f>SUM(K21,T21)</f>
        <v>0</v>
      </c>
      <c r="AC21" s="379">
        <f>SUM(M21,V21)</f>
        <v>0</v>
      </c>
      <c r="AD21" s="379">
        <f>SUM(G21:N21,P21:W21)</f>
        <v>0</v>
      </c>
      <c r="AE21" s="379">
        <f>SUM(O21,X21)</f>
        <v>0</v>
      </c>
    </row>
    <row r="22" spans="1:31" ht="29.25" hidden="1" customHeight="1">
      <c r="A22" s="580" t="s">
        <v>9</v>
      </c>
      <c r="B22" s="581"/>
      <c r="C22" s="581"/>
      <c r="D22" s="581"/>
      <c r="E22" s="581"/>
      <c r="F22" s="582"/>
      <c r="G22" s="61">
        <f>SUM(G21)</f>
        <v>0</v>
      </c>
      <c r="H22" s="61">
        <f>SUM(H21)</f>
        <v>0</v>
      </c>
      <c r="I22" s="61">
        <f>SUM(I21)</f>
        <v>0</v>
      </c>
      <c r="J22" s="61">
        <f t="shared" ref="J22:X22" si="8">SUM(J21:J21)</f>
        <v>0</v>
      </c>
      <c r="K22" s="61">
        <f t="shared" si="8"/>
        <v>0</v>
      </c>
      <c r="L22" s="61">
        <f t="shared" si="8"/>
        <v>0</v>
      </c>
      <c r="M22" s="61">
        <f t="shared" si="8"/>
        <v>0</v>
      </c>
      <c r="N22" s="61">
        <f t="shared" si="8"/>
        <v>0</v>
      </c>
      <c r="O22" s="61">
        <f t="shared" si="8"/>
        <v>0</v>
      </c>
      <c r="P22" s="61">
        <f t="shared" si="8"/>
        <v>0</v>
      </c>
      <c r="Q22" s="61">
        <f t="shared" si="8"/>
        <v>0</v>
      </c>
      <c r="R22" s="61">
        <f t="shared" si="8"/>
        <v>0</v>
      </c>
      <c r="S22" s="61">
        <f t="shared" si="8"/>
        <v>0</v>
      </c>
      <c r="T22" s="61">
        <f t="shared" si="8"/>
        <v>0</v>
      </c>
      <c r="U22" s="61">
        <f t="shared" si="8"/>
        <v>0</v>
      </c>
      <c r="V22" s="61">
        <f t="shared" si="8"/>
        <v>0</v>
      </c>
      <c r="W22" s="61">
        <f t="shared" si="8"/>
        <v>0</v>
      </c>
      <c r="X22" s="61">
        <f t="shared" si="8"/>
        <v>0</v>
      </c>
      <c r="Y22" s="61">
        <f t="shared" ref="Y22:AE22" si="9">SUM(Y21:Y21)</f>
        <v>0</v>
      </c>
      <c r="Z22" s="61">
        <f t="shared" si="9"/>
        <v>0</v>
      </c>
      <c r="AA22" s="61">
        <f t="shared" si="9"/>
        <v>0</v>
      </c>
      <c r="AB22" s="61">
        <f t="shared" si="9"/>
        <v>0</v>
      </c>
      <c r="AC22" s="61">
        <f t="shared" si="9"/>
        <v>0</v>
      </c>
      <c r="AD22" s="61">
        <f t="shared" si="9"/>
        <v>0</v>
      </c>
      <c r="AE22" s="61">
        <f t="shared" si="9"/>
        <v>0</v>
      </c>
    </row>
    <row r="23" spans="1:31" s="293" customFormat="1" ht="29.25" customHeight="1">
      <c r="A23" s="316" t="s">
        <v>389</v>
      </c>
      <c r="B23" s="317"/>
      <c r="C23" s="513"/>
      <c r="D23" s="317"/>
      <c r="E23" s="317"/>
      <c r="F23" s="317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63"/>
    </row>
    <row r="24" spans="1:31" s="293" customFormat="1" ht="29.25" customHeight="1">
      <c r="A24" s="57" t="s">
        <v>200</v>
      </c>
      <c r="B24" s="297" t="s">
        <v>115</v>
      </c>
      <c r="C24" s="297"/>
      <c r="D24" s="297"/>
      <c r="E24" s="514">
        <v>11</v>
      </c>
      <c r="F24" s="514"/>
      <c r="G24" s="54"/>
      <c r="H24" s="54"/>
      <c r="I24" s="54">
        <v>20</v>
      </c>
      <c r="J24" s="54">
        <v>5</v>
      </c>
      <c r="K24" s="54"/>
      <c r="L24" s="54"/>
      <c r="M24" s="54"/>
      <c r="N24" s="54"/>
      <c r="O24" s="54">
        <v>1</v>
      </c>
      <c r="P24" s="55"/>
      <c r="Q24" s="55"/>
      <c r="R24" s="55"/>
      <c r="S24" s="55"/>
      <c r="T24" s="55"/>
      <c r="U24" s="55"/>
      <c r="V24" s="55"/>
      <c r="W24" s="55"/>
      <c r="X24" s="55"/>
      <c r="Y24" s="44">
        <f>SUM(Z24:AC24)</f>
        <v>20</v>
      </c>
      <c r="Z24" s="44">
        <f t="shared" ref="Z24" si="10">SUM(G24,P24)</f>
        <v>0</v>
      </c>
      <c r="AA24" s="44">
        <f t="shared" ref="AA24" si="11">SUM(I24,R24)</f>
        <v>20</v>
      </c>
      <c r="AB24" s="44">
        <f t="shared" ref="AB24" si="12">SUM(K24,T24)</f>
        <v>0</v>
      </c>
      <c r="AC24" s="44">
        <f t="shared" ref="AC24" si="13">SUM(M24,V24)</f>
        <v>0</v>
      </c>
      <c r="AD24" s="44">
        <f>SUM(G24:N24,P24:W24)</f>
        <v>25</v>
      </c>
      <c r="AE24" s="44">
        <f t="shared" ref="AE24" si="14">SUM(O24,X24)</f>
        <v>1</v>
      </c>
    </row>
    <row r="25" spans="1:31" s="293" customFormat="1" ht="29.25" customHeight="1">
      <c r="A25" s="57" t="s">
        <v>201</v>
      </c>
      <c r="B25" s="297" t="s">
        <v>115</v>
      </c>
      <c r="C25" s="297"/>
      <c r="D25" s="297"/>
      <c r="E25" s="515">
        <v>12</v>
      </c>
      <c r="F25" s="515"/>
      <c r="G25" s="516"/>
      <c r="H25" s="516"/>
      <c r="I25" s="516"/>
      <c r="J25" s="516"/>
      <c r="K25" s="516"/>
      <c r="L25" s="516"/>
      <c r="M25" s="516"/>
      <c r="N25" s="516"/>
      <c r="O25" s="516"/>
      <c r="P25" s="517"/>
      <c r="Q25" s="517"/>
      <c r="R25" s="517">
        <v>20</v>
      </c>
      <c r="S25" s="517">
        <v>30</v>
      </c>
      <c r="T25" s="517"/>
      <c r="U25" s="517"/>
      <c r="V25" s="517"/>
      <c r="W25" s="517"/>
      <c r="X25" s="517">
        <v>2</v>
      </c>
      <c r="Y25" s="518">
        <v>20</v>
      </c>
      <c r="Z25" s="518">
        <v>0</v>
      </c>
      <c r="AA25" s="518">
        <v>20</v>
      </c>
      <c r="AB25" s="518">
        <v>0</v>
      </c>
      <c r="AC25" s="518">
        <v>0</v>
      </c>
      <c r="AD25" s="518">
        <v>50</v>
      </c>
      <c r="AE25" s="518">
        <v>2</v>
      </c>
    </row>
    <row r="26" spans="1:31" s="293" customFormat="1" ht="15.75" customHeight="1">
      <c r="A26" s="741" t="s">
        <v>9</v>
      </c>
      <c r="B26" s="742"/>
      <c r="C26" s="742"/>
      <c r="D26" s="742"/>
      <c r="E26" s="742"/>
      <c r="F26" s="743"/>
      <c r="G26" s="425">
        <f t="shared" ref="G26:AD26" si="15">SUM(G24:G24)</f>
        <v>0</v>
      </c>
      <c r="H26" s="425">
        <f t="shared" si="15"/>
        <v>0</v>
      </c>
      <c r="I26" s="425">
        <f t="shared" si="15"/>
        <v>20</v>
      </c>
      <c r="J26" s="425">
        <f t="shared" si="15"/>
        <v>5</v>
      </c>
      <c r="K26" s="425">
        <f t="shared" si="15"/>
        <v>0</v>
      </c>
      <c r="L26" s="425">
        <f t="shared" si="15"/>
        <v>0</v>
      </c>
      <c r="M26" s="425">
        <f t="shared" si="15"/>
        <v>0</v>
      </c>
      <c r="N26" s="425">
        <f t="shared" si="15"/>
        <v>0</v>
      </c>
      <c r="O26" s="425">
        <f t="shared" si="15"/>
        <v>1</v>
      </c>
      <c r="P26" s="425">
        <f t="shared" si="15"/>
        <v>0</v>
      </c>
      <c r="Q26" s="425">
        <f t="shared" si="15"/>
        <v>0</v>
      </c>
      <c r="R26" s="425">
        <f t="shared" si="15"/>
        <v>0</v>
      </c>
      <c r="S26" s="425">
        <f t="shared" si="15"/>
        <v>0</v>
      </c>
      <c r="T26" s="425">
        <f t="shared" si="15"/>
        <v>0</v>
      </c>
      <c r="U26" s="425">
        <f t="shared" si="15"/>
        <v>0</v>
      </c>
      <c r="V26" s="425">
        <f t="shared" si="15"/>
        <v>0</v>
      </c>
      <c r="W26" s="425">
        <f t="shared" si="15"/>
        <v>0</v>
      </c>
      <c r="X26" s="425">
        <f t="shared" si="15"/>
        <v>0</v>
      </c>
      <c r="Y26" s="425">
        <f t="shared" si="15"/>
        <v>20</v>
      </c>
      <c r="Z26" s="425">
        <f t="shared" si="15"/>
        <v>0</v>
      </c>
      <c r="AA26" s="425">
        <f t="shared" si="15"/>
        <v>20</v>
      </c>
      <c r="AB26" s="425">
        <f t="shared" si="15"/>
        <v>0</v>
      </c>
      <c r="AC26" s="425">
        <f t="shared" si="15"/>
        <v>0</v>
      </c>
      <c r="AD26" s="425">
        <f t="shared" si="15"/>
        <v>25</v>
      </c>
      <c r="AE26" s="425">
        <v>3</v>
      </c>
    </row>
    <row r="27" spans="1:31" s="293" customFormat="1" ht="29.25" customHeight="1">
      <c r="A27" s="740" t="s">
        <v>246</v>
      </c>
      <c r="B27" s="740"/>
      <c r="C27" s="740"/>
      <c r="D27" s="740"/>
      <c r="E27" s="740"/>
      <c r="F27" s="740"/>
      <c r="G27" s="61">
        <v>0</v>
      </c>
      <c r="H27" s="61">
        <v>0</v>
      </c>
      <c r="I27" s="61">
        <v>20</v>
      </c>
      <c r="J27" s="61">
        <v>5</v>
      </c>
      <c r="K27" s="61">
        <v>480</v>
      </c>
      <c r="L27" s="61">
        <v>320</v>
      </c>
      <c r="M27" s="61">
        <v>0</v>
      </c>
      <c r="N27" s="61">
        <v>0</v>
      </c>
      <c r="O27" s="61">
        <v>33</v>
      </c>
      <c r="P27" s="61">
        <v>0</v>
      </c>
      <c r="Q27" s="61">
        <v>0</v>
      </c>
      <c r="R27" s="61">
        <v>20</v>
      </c>
      <c r="S27" s="61">
        <v>30</v>
      </c>
      <c r="T27" s="61">
        <v>420</v>
      </c>
      <c r="U27" s="61">
        <v>280</v>
      </c>
      <c r="V27" s="61">
        <v>0</v>
      </c>
      <c r="W27" s="61">
        <v>0</v>
      </c>
      <c r="X27" s="61">
        <v>30</v>
      </c>
      <c r="Y27" s="61">
        <v>940</v>
      </c>
      <c r="Z27" s="61">
        <v>0</v>
      </c>
      <c r="AA27" s="61">
        <v>40</v>
      </c>
      <c r="AB27" s="61">
        <v>900</v>
      </c>
      <c r="AC27" s="61">
        <v>0</v>
      </c>
      <c r="AD27" s="61">
        <v>1575</v>
      </c>
      <c r="AE27" s="61">
        <v>63</v>
      </c>
    </row>
    <row r="28" spans="1:31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</row>
    <row r="29" spans="1:31" s="293" customFormat="1" ht="29.25" customHeight="1">
      <c r="A29" s="704" t="s">
        <v>574</v>
      </c>
      <c r="B29" s="704"/>
      <c r="C29" s="704"/>
      <c r="D29" s="704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704"/>
      <c r="T29" s="704"/>
      <c r="U29" s="704"/>
      <c r="V29" s="704"/>
      <c r="W29" s="704"/>
      <c r="X29" s="704"/>
      <c r="Y29" s="704"/>
      <c r="Z29" s="704"/>
      <c r="AA29" s="704"/>
      <c r="AB29" s="704"/>
      <c r="AC29" s="704"/>
      <c r="AD29" s="704"/>
      <c r="AE29" s="704"/>
    </row>
    <row r="30" spans="1:31" s="293" customFormat="1" ht="29.25" customHeight="1">
      <c r="A30" s="568" t="s">
        <v>538</v>
      </c>
      <c r="B30" s="569" t="s">
        <v>248</v>
      </c>
      <c r="C30" s="507" t="s">
        <v>539</v>
      </c>
      <c r="D30" s="570"/>
      <c r="E30" s="571" t="s">
        <v>244</v>
      </c>
      <c r="F30" s="572"/>
      <c r="G30" s="506"/>
      <c r="H30" s="506"/>
      <c r="I30" s="506">
        <v>20</v>
      </c>
      <c r="J30" s="506">
        <v>5</v>
      </c>
      <c r="K30" s="506"/>
      <c r="L30" s="506"/>
      <c r="M30" s="506"/>
      <c r="N30" s="506"/>
      <c r="O30" s="506">
        <v>1</v>
      </c>
      <c r="P30" s="503"/>
      <c r="Q30" s="503"/>
      <c r="R30" s="503"/>
      <c r="S30" s="503"/>
      <c r="T30" s="503"/>
      <c r="U30" s="503"/>
      <c r="V30" s="503"/>
      <c r="W30" s="503"/>
      <c r="X30" s="503"/>
      <c r="Y30" s="502">
        <f>SUM(G30,I30,K30,M30,P30,R30,T30,V30)</f>
        <v>20</v>
      </c>
      <c r="Z30" s="502">
        <f>SUM(G30,P30)</f>
        <v>0</v>
      </c>
      <c r="AA30" s="502">
        <f>SUM(I30,R30)</f>
        <v>20</v>
      </c>
      <c r="AB30" s="502">
        <f>SUM(K30,T30)</f>
        <v>0</v>
      </c>
      <c r="AC30" s="502">
        <f>SUM(M30,V30)</f>
        <v>0</v>
      </c>
      <c r="AD30" s="502">
        <f>SUM(G30:M30,P30:W30,N30)</f>
        <v>25</v>
      </c>
      <c r="AE30" s="502">
        <f>SUM(O30,X30)</f>
        <v>1</v>
      </c>
    </row>
    <row r="31" spans="1:31" s="293" customFormat="1" ht="29.25" customHeight="1">
      <c r="A31" s="568" t="s">
        <v>540</v>
      </c>
      <c r="B31" s="569" t="s">
        <v>248</v>
      </c>
      <c r="C31" s="507" t="s">
        <v>539</v>
      </c>
      <c r="D31" s="570"/>
      <c r="E31" s="571"/>
      <c r="F31" s="572"/>
      <c r="G31" s="506"/>
      <c r="H31" s="506"/>
      <c r="I31" s="506"/>
      <c r="J31" s="506"/>
      <c r="K31" s="506"/>
      <c r="L31" s="506"/>
      <c r="M31" s="506"/>
      <c r="N31" s="506"/>
      <c r="O31" s="506"/>
      <c r="P31" s="503"/>
      <c r="Q31" s="503"/>
      <c r="R31" s="503">
        <v>20</v>
      </c>
      <c r="S31" s="503">
        <v>30</v>
      </c>
      <c r="T31" s="503"/>
      <c r="U31" s="503"/>
      <c r="V31" s="503"/>
      <c r="W31" s="503"/>
      <c r="X31" s="503">
        <v>2</v>
      </c>
      <c r="Y31" s="502">
        <v>20</v>
      </c>
      <c r="Z31" s="502">
        <v>0</v>
      </c>
      <c r="AA31" s="502">
        <v>20</v>
      </c>
      <c r="AB31" s="502">
        <v>0</v>
      </c>
      <c r="AC31" s="502">
        <v>0</v>
      </c>
      <c r="AD31" s="502">
        <v>50</v>
      </c>
      <c r="AE31" s="502">
        <v>2</v>
      </c>
    </row>
    <row r="32" spans="1:31" s="293" customFormat="1" ht="29.25" customHeight="1">
      <c r="A32" s="568" t="s">
        <v>542</v>
      </c>
      <c r="B32" s="573" t="s">
        <v>541</v>
      </c>
      <c r="C32" s="507" t="s">
        <v>575</v>
      </c>
      <c r="D32" s="570"/>
      <c r="E32" s="571" t="s">
        <v>129</v>
      </c>
      <c r="F32" s="572"/>
      <c r="G32" s="506"/>
      <c r="H32" s="506"/>
      <c r="I32" s="506">
        <v>20</v>
      </c>
      <c r="J32" s="506">
        <v>5</v>
      </c>
      <c r="K32" s="506"/>
      <c r="L32" s="506"/>
      <c r="M32" s="506"/>
      <c r="N32" s="506"/>
      <c r="O32" s="506">
        <v>1</v>
      </c>
      <c r="P32" s="503"/>
      <c r="Q32" s="503"/>
      <c r="R32" s="503"/>
      <c r="S32" s="503"/>
      <c r="T32" s="503"/>
      <c r="U32" s="503"/>
      <c r="V32" s="503"/>
      <c r="W32" s="503"/>
      <c r="X32" s="503"/>
      <c r="Y32" s="502">
        <v>20</v>
      </c>
      <c r="Z32" s="502">
        <v>0</v>
      </c>
      <c r="AA32" s="502">
        <v>20</v>
      </c>
      <c r="AB32" s="502">
        <v>0</v>
      </c>
      <c r="AC32" s="502">
        <v>0</v>
      </c>
      <c r="AD32" s="502">
        <v>25</v>
      </c>
      <c r="AE32" s="502">
        <v>1</v>
      </c>
    </row>
    <row r="33" spans="1:31" s="293" customFormat="1" ht="29.25" customHeight="1">
      <c r="A33" s="568" t="s">
        <v>544</v>
      </c>
      <c r="B33" s="573" t="s">
        <v>543</v>
      </c>
      <c r="C33" s="507" t="s">
        <v>576</v>
      </c>
      <c r="D33" s="570"/>
      <c r="E33" s="571" t="s">
        <v>129</v>
      </c>
      <c r="F33" s="572"/>
      <c r="G33" s="506"/>
      <c r="H33" s="506"/>
      <c r="I33" s="506">
        <v>20</v>
      </c>
      <c r="J33" s="506">
        <v>5</v>
      </c>
      <c r="K33" s="506"/>
      <c r="L33" s="506"/>
      <c r="M33" s="506"/>
      <c r="N33" s="506"/>
      <c r="O33" s="506">
        <v>1</v>
      </c>
      <c r="P33" s="503"/>
      <c r="Q33" s="503"/>
      <c r="R33" s="503"/>
      <c r="S33" s="503"/>
      <c r="T33" s="503"/>
      <c r="U33" s="503"/>
      <c r="V33" s="503"/>
      <c r="W33" s="503"/>
      <c r="X33" s="503"/>
      <c r="Y33" s="502">
        <v>20</v>
      </c>
      <c r="Z33" s="502">
        <v>0</v>
      </c>
      <c r="AA33" s="502">
        <v>20</v>
      </c>
      <c r="AB33" s="502">
        <v>0</v>
      </c>
      <c r="AC33" s="502">
        <v>0</v>
      </c>
      <c r="AD33" s="502">
        <v>25</v>
      </c>
      <c r="AE33" s="502">
        <v>1</v>
      </c>
    </row>
    <row r="34" spans="1:31" s="293" customFormat="1" ht="29.25" customHeight="1">
      <c r="A34" s="568" t="s">
        <v>546</v>
      </c>
      <c r="B34" s="573" t="s">
        <v>545</v>
      </c>
      <c r="C34" s="507" t="s">
        <v>577</v>
      </c>
      <c r="D34" s="570"/>
      <c r="E34" s="571" t="s">
        <v>130</v>
      </c>
      <c r="F34" s="572"/>
      <c r="G34" s="506"/>
      <c r="H34" s="506"/>
      <c r="I34" s="506"/>
      <c r="J34" s="506"/>
      <c r="K34" s="506"/>
      <c r="L34" s="506"/>
      <c r="M34" s="506"/>
      <c r="N34" s="506"/>
      <c r="O34" s="506"/>
      <c r="P34" s="503"/>
      <c r="Q34" s="503"/>
      <c r="R34" s="503">
        <v>20</v>
      </c>
      <c r="S34" s="503">
        <v>30</v>
      </c>
      <c r="T34" s="503"/>
      <c r="U34" s="503"/>
      <c r="V34" s="503"/>
      <c r="W34" s="503"/>
      <c r="X34" s="503">
        <v>2</v>
      </c>
      <c r="Y34" s="502">
        <v>20</v>
      </c>
      <c r="Z34" s="502">
        <v>0</v>
      </c>
      <c r="AA34" s="502">
        <v>20</v>
      </c>
      <c r="AB34" s="502">
        <v>0</v>
      </c>
      <c r="AC34" s="502">
        <v>0</v>
      </c>
      <c r="AD34" s="502">
        <v>50</v>
      </c>
      <c r="AE34" s="502">
        <v>2</v>
      </c>
    </row>
    <row r="35" spans="1:31" s="293" customFormat="1" ht="29.25" customHeight="1">
      <c r="A35" s="568" t="s">
        <v>548</v>
      </c>
      <c r="B35" s="573" t="s">
        <v>547</v>
      </c>
      <c r="C35" s="507" t="s">
        <v>578</v>
      </c>
      <c r="D35" s="570"/>
      <c r="E35" s="571" t="s">
        <v>130</v>
      </c>
      <c r="F35" s="572"/>
      <c r="G35" s="506"/>
      <c r="H35" s="506"/>
      <c r="I35" s="506"/>
      <c r="J35" s="506"/>
      <c r="K35" s="506"/>
      <c r="L35" s="506"/>
      <c r="M35" s="506"/>
      <c r="N35" s="506"/>
      <c r="O35" s="506"/>
      <c r="P35" s="503"/>
      <c r="Q35" s="503"/>
      <c r="R35" s="503">
        <v>20</v>
      </c>
      <c r="S35" s="503">
        <v>30</v>
      </c>
      <c r="T35" s="503"/>
      <c r="U35" s="503"/>
      <c r="V35" s="503"/>
      <c r="W35" s="503"/>
      <c r="X35" s="503">
        <v>2</v>
      </c>
      <c r="Y35" s="502">
        <v>20</v>
      </c>
      <c r="Z35" s="502">
        <v>0</v>
      </c>
      <c r="AA35" s="502">
        <v>20</v>
      </c>
      <c r="AB35" s="502">
        <v>0</v>
      </c>
      <c r="AC35" s="502">
        <v>0</v>
      </c>
      <c r="AD35" s="502">
        <v>50</v>
      </c>
      <c r="AE35" s="502">
        <v>2</v>
      </c>
    </row>
    <row r="36" spans="1:31" s="293" customFormat="1" ht="29.25" customHeight="1">
      <c r="A36" s="568" t="s">
        <v>551</v>
      </c>
      <c r="B36" s="573" t="s">
        <v>549</v>
      </c>
      <c r="C36" s="507" t="s">
        <v>579</v>
      </c>
      <c r="D36" s="570"/>
      <c r="E36" s="571" t="s">
        <v>130</v>
      </c>
      <c r="F36" s="572"/>
      <c r="G36" s="506"/>
      <c r="H36" s="506"/>
      <c r="I36" s="506"/>
      <c r="J36" s="506"/>
      <c r="K36" s="506"/>
      <c r="L36" s="506"/>
      <c r="M36" s="506"/>
      <c r="N36" s="506"/>
      <c r="O36" s="506"/>
      <c r="P36" s="503"/>
      <c r="Q36" s="503"/>
      <c r="R36" s="503">
        <v>20</v>
      </c>
      <c r="S36" s="503">
        <v>30</v>
      </c>
      <c r="T36" s="503"/>
      <c r="U36" s="503"/>
      <c r="V36" s="503"/>
      <c r="W36" s="503"/>
      <c r="X36" s="503">
        <v>2</v>
      </c>
      <c r="Y36" s="502">
        <v>20</v>
      </c>
      <c r="Z36" s="502">
        <v>0</v>
      </c>
      <c r="AA36" s="502">
        <v>20</v>
      </c>
      <c r="AB36" s="502">
        <v>0</v>
      </c>
      <c r="AC36" s="502">
        <v>0</v>
      </c>
      <c r="AD36" s="502">
        <v>50</v>
      </c>
      <c r="AE36" s="502">
        <v>2</v>
      </c>
    </row>
    <row r="37" spans="1:31">
      <c r="A37" s="383"/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</row>
    <row r="38" spans="1:31">
      <c r="A38" s="383"/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</row>
    <row r="39" spans="1:31">
      <c r="A39" s="383"/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</row>
    <row r="40" spans="1:31" ht="20.25" customHeight="1">
      <c r="A40" s="383"/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</row>
    <row r="41" spans="1:31" ht="16.5" customHeight="1">
      <c r="A41" s="383"/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</row>
    <row r="42" spans="1:31" s="293" customFormat="1" ht="16.5" customHeight="1">
      <c r="A42" s="383"/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</row>
    <row r="43" spans="1:31" ht="125.25" customHeight="1">
      <c r="A43" s="383"/>
      <c r="B43" s="744" t="s">
        <v>247</v>
      </c>
      <c r="C43" s="744"/>
      <c r="D43" s="744"/>
      <c r="E43" s="744"/>
      <c r="F43" s="744"/>
      <c r="G43" s="744"/>
      <c r="H43" s="744"/>
      <c r="I43" s="744"/>
      <c r="J43" s="744"/>
      <c r="K43" s="744"/>
      <c r="L43" s="744"/>
      <c r="M43" s="744"/>
      <c r="N43" s="744"/>
      <c r="O43" s="744"/>
      <c r="P43" s="383"/>
      <c r="Q43" s="383"/>
      <c r="R43" s="426" t="s">
        <v>122</v>
      </c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</row>
  </sheetData>
  <mergeCells count="38">
    <mergeCell ref="B43:O43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G8:H8"/>
    <mergeCell ref="I8:J8"/>
    <mergeCell ref="Y6:Y9"/>
    <mergeCell ref="Z6:Z9"/>
    <mergeCell ref="M8:N8"/>
    <mergeCell ref="R8:S8"/>
    <mergeCell ref="T8:U8"/>
    <mergeCell ref="V8:W8"/>
    <mergeCell ref="X8:X9"/>
    <mergeCell ref="A29:AE29"/>
    <mergeCell ref="A19:F19"/>
    <mergeCell ref="A27:F27"/>
    <mergeCell ref="AA6:AA9"/>
    <mergeCell ref="O8:O9"/>
    <mergeCell ref="P8:Q8"/>
    <mergeCell ref="A6:A9"/>
    <mergeCell ref="B6:B9"/>
    <mergeCell ref="C6:C9"/>
    <mergeCell ref="D6:F7"/>
    <mergeCell ref="D8:D9"/>
    <mergeCell ref="E8:E9"/>
    <mergeCell ref="F8:F9"/>
    <mergeCell ref="A26:F26"/>
    <mergeCell ref="A22:F22"/>
    <mergeCell ref="K8:L8"/>
  </mergeCells>
  <pageMargins left="0.23622047244094491" right="0.23622047244094491" top="0.55118110236220474" bottom="0.55118110236220474" header="0.31496062992125984" footer="0.31496062992125984"/>
  <pageSetup paperSize="9" scale="6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RowHeight="15"/>
  <cols>
    <col min="1" max="1" width="6" style="82" customWidth="1"/>
    <col min="2" max="2" width="45.7109375" style="82" customWidth="1"/>
    <col min="3" max="3" width="24" style="131" customWidth="1"/>
    <col min="4" max="4" width="11.140625" style="88" customWidth="1"/>
    <col min="5" max="5" width="7.28515625" style="81" customWidth="1"/>
    <col min="6" max="9" width="5.28515625" style="81" customWidth="1"/>
    <col min="10" max="10" width="9.140625" style="81" customWidth="1"/>
    <col min="11" max="11" width="6.85546875" style="81" customWidth="1"/>
    <col min="12" max="12" width="31.140625" style="82" customWidth="1"/>
    <col min="13" max="13" width="17.7109375" style="82" customWidth="1"/>
    <col min="14" max="16384" width="9.140625" style="82"/>
  </cols>
  <sheetData>
    <row r="1" spans="1:51" ht="66.75" customHeight="1">
      <c r="A1" s="749" t="s">
        <v>254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</row>
    <row r="2" spans="1:51" ht="30.75" customHeight="1">
      <c r="A2" s="768" t="s">
        <v>251</v>
      </c>
      <c r="B2" s="768"/>
      <c r="C2" s="136" t="s">
        <v>252</v>
      </c>
      <c r="D2" s="137"/>
      <c r="E2" s="138"/>
      <c r="F2" s="138"/>
      <c r="G2" s="138"/>
      <c r="H2" s="139"/>
      <c r="I2" s="139"/>
      <c r="J2" s="139"/>
      <c r="K2" s="139"/>
      <c r="L2" s="135"/>
      <c r="M2" s="135"/>
      <c r="N2" s="135"/>
      <c r="O2" s="135"/>
      <c r="P2" s="135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51" ht="23.25" customHeight="1">
      <c r="A3" s="768" t="s">
        <v>253</v>
      </c>
      <c r="B3" s="768"/>
      <c r="C3" s="140"/>
      <c r="D3" s="141"/>
      <c r="E3" s="141"/>
      <c r="F3" s="141"/>
      <c r="G3" s="141"/>
      <c r="H3" s="141"/>
      <c r="I3" s="141"/>
      <c r="J3" s="141"/>
      <c r="K3" s="141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51" ht="63.75" customHeight="1">
      <c r="A4" s="73" t="s">
        <v>0</v>
      </c>
      <c r="B4" s="72" t="s">
        <v>4</v>
      </c>
      <c r="C4" s="69" t="s">
        <v>1</v>
      </c>
      <c r="D4" s="89" t="s">
        <v>235</v>
      </c>
      <c r="E4" s="59" t="s">
        <v>5</v>
      </c>
      <c r="F4" s="59" t="s">
        <v>89</v>
      </c>
      <c r="G4" s="59" t="s">
        <v>88</v>
      </c>
      <c r="H4" s="59" t="s">
        <v>94</v>
      </c>
      <c r="I4" s="59" t="s">
        <v>90</v>
      </c>
      <c r="J4" s="59" t="s">
        <v>14</v>
      </c>
      <c r="K4" s="59" t="s">
        <v>6</v>
      </c>
    </row>
    <row r="5" spans="1:51" ht="15" customHeight="1">
      <c r="A5" s="144" t="s">
        <v>22</v>
      </c>
      <c r="B5" s="76"/>
      <c r="C5" s="129"/>
      <c r="D5" s="96"/>
      <c r="E5" s="97"/>
      <c r="F5" s="97"/>
      <c r="G5" s="97"/>
      <c r="H5" s="97"/>
      <c r="I5" s="98"/>
      <c r="J5" s="98"/>
      <c r="K5" s="143"/>
      <c r="L5" s="74"/>
      <c r="M5" s="74"/>
      <c r="N5" s="74"/>
      <c r="O5" s="74"/>
    </row>
    <row r="6" spans="1:51" ht="18.75" customHeight="1">
      <c r="A6" s="67">
        <v>1.1000000000000001</v>
      </c>
      <c r="B6" s="91" t="s">
        <v>18</v>
      </c>
      <c r="C6" s="64" t="str">
        <f>"0912-7LEK-B"&amp;A6&amp;"-"&amp;UPPER(LEFT(B6,1))</f>
        <v>0912-7LEK-B1,1-A</v>
      </c>
      <c r="D6" s="92" t="s">
        <v>231</v>
      </c>
      <c r="E6" s="93">
        <v>225</v>
      </c>
      <c r="F6" s="93">
        <v>75</v>
      </c>
      <c r="G6" s="93">
        <v>60</v>
      </c>
      <c r="H6" s="93">
        <v>90</v>
      </c>
      <c r="I6" s="60">
        <v>0</v>
      </c>
      <c r="J6" s="101">
        <v>425</v>
      </c>
      <c r="K6" s="101">
        <v>17</v>
      </c>
      <c r="L6" s="132"/>
      <c r="M6" s="74"/>
      <c r="N6" s="74"/>
      <c r="O6" s="74"/>
    </row>
    <row r="7" spans="1:51" ht="18.75" customHeight="1">
      <c r="A7" s="66">
        <v>1.2</v>
      </c>
      <c r="B7" s="68" t="s">
        <v>20</v>
      </c>
      <c r="C7" s="7" t="str">
        <f>"0912-7LEK-B"&amp;A7&amp;"-"&amp;UPPER(LEFT(B7,1))</f>
        <v>0912-7LEK-B1,2-H</v>
      </c>
      <c r="D7" s="78" t="s">
        <v>231</v>
      </c>
      <c r="E7" s="79">
        <v>105</v>
      </c>
      <c r="F7" s="79">
        <v>35</v>
      </c>
      <c r="G7" s="79">
        <v>35</v>
      </c>
      <c r="H7" s="79">
        <v>35</v>
      </c>
      <c r="I7" s="75">
        <v>0</v>
      </c>
      <c r="J7" s="102">
        <v>250</v>
      </c>
      <c r="K7" s="102">
        <v>10</v>
      </c>
      <c r="L7" s="74"/>
      <c r="M7" s="74"/>
      <c r="N7" s="74"/>
      <c r="O7" s="74"/>
    </row>
    <row r="8" spans="1:51">
      <c r="A8" s="753" t="s">
        <v>9</v>
      </c>
      <c r="B8" s="754"/>
      <c r="C8" s="754"/>
      <c r="D8" s="755"/>
      <c r="E8" s="90">
        <f>SUM(E6:E7)</f>
        <v>330</v>
      </c>
      <c r="F8" s="90">
        <f t="shared" ref="F8:K8" si="0">SUM(F6:F7)</f>
        <v>110</v>
      </c>
      <c r="G8" s="90">
        <f t="shared" si="0"/>
        <v>95</v>
      </c>
      <c r="H8" s="90">
        <f t="shared" si="0"/>
        <v>125</v>
      </c>
      <c r="I8" s="90">
        <f t="shared" si="0"/>
        <v>0</v>
      </c>
      <c r="J8" s="90">
        <f t="shared" si="0"/>
        <v>675</v>
      </c>
      <c r="K8" s="90">
        <f t="shared" si="0"/>
        <v>27</v>
      </c>
      <c r="L8" s="74"/>
      <c r="M8" s="74"/>
      <c r="N8" s="74"/>
      <c r="O8" s="74"/>
    </row>
    <row r="9" spans="1:51">
      <c r="A9" s="746" t="s">
        <v>23</v>
      </c>
      <c r="B9" s="747"/>
      <c r="C9" s="747"/>
      <c r="D9" s="747"/>
      <c r="E9" s="747"/>
      <c r="F9" s="747"/>
      <c r="G9" s="747"/>
      <c r="H9" s="747"/>
      <c r="I9" s="747"/>
      <c r="J9" s="747"/>
      <c r="K9" s="748"/>
    </row>
    <row r="10" spans="1:51" ht="18.75" customHeight="1">
      <c r="A10" s="67">
        <v>2.1</v>
      </c>
      <c r="B10" s="91" t="s">
        <v>35</v>
      </c>
      <c r="C10" s="64" t="str">
        <f>"0912-7LEK-B"&amp;A10&amp;"-"&amp;UPPER(LEFT(B10,1))&amp;"f"</f>
        <v>0912-7LEK-B2,1-Bf</v>
      </c>
      <c r="D10" s="92">
        <v>4</v>
      </c>
      <c r="E10" s="93">
        <v>50</v>
      </c>
      <c r="F10" s="93">
        <v>20</v>
      </c>
      <c r="G10" s="93">
        <v>15</v>
      </c>
      <c r="H10" s="93">
        <v>0</v>
      </c>
      <c r="I10" s="93">
        <v>15</v>
      </c>
      <c r="J10" s="93">
        <v>75</v>
      </c>
      <c r="K10" s="93">
        <v>3</v>
      </c>
    </row>
    <row r="11" spans="1:51" ht="18.75" customHeight="1">
      <c r="A11" s="66">
        <v>2.2000000000000002</v>
      </c>
      <c r="B11" s="68" t="s">
        <v>36</v>
      </c>
      <c r="C11" s="7" t="str">
        <f>"0912-7LEK-B"&amp;A11&amp;"-"&amp;UPPER(LEFT(B11,1))&amp;"BK"</f>
        <v>0912-7LEK-B2,2-PBK</v>
      </c>
      <c r="D11" s="78">
        <v>2</v>
      </c>
      <c r="E11" s="79">
        <v>60</v>
      </c>
      <c r="F11" s="79">
        <v>30</v>
      </c>
      <c r="G11" s="79">
        <v>0</v>
      </c>
      <c r="H11" s="79">
        <v>0</v>
      </c>
      <c r="I11" s="79">
        <v>30</v>
      </c>
      <c r="J11" s="79">
        <v>100</v>
      </c>
      <c r="K11" s="79">
        <v>4</v>
      </c>
    </row>
    <row r="12" spans="1:51" ht="15.75">
      <c r="A12" s="66">
        <v>2.2999999999999998</v>
      </c>
      <c r="B12" s="68" t="s">
        <v>37</v>
      </c>
      <c r="C12" s="7" t="str">
        <f>"0912-7LEK-B"&amp;A12&amp;"-"&amp;UPPER(LEFT(B12,1))</f>
        <v>0912-7LEK-B2,3-C</v>
      </c>
      <c r="D12" s="78">
        <v>1</v>
      </c>
      <c r="E12" s="79">
        <v>35</v>
      </c>
      <c r="F12" s="79">
        <v>15</v>
      </c>
      <c r="G12" s="79">
        <v>0</v>
      </c>
      <c r="H12" s="79">
        <v>0</v>
      </c>
      <c r="I12" s="79">
        <v>20</v>
      </c>
      <c r="J12" s="79">
        <v>75</v>
      </c>
      <c r="K12" s="79">
        <v>3</v>
      </c>
    </row>
    <row r="13" spans="1:51" ht="18.75" customHeight="1">
      <c r="A13" s="66">
        <v>2.4</v>
      </c>
      <c r="B13" s="84" t="s">
        <v>38</v>
      </c>
      <c r="C13" s="7" t="str">
        <f>"0912-7LEK-B"&amp;A13&amp;"-"&amp;UPPER(LEFT(B13,1))&amp;"ch"</f>
        <v>0912-7LEK-B2,4-Bch</v>
      </c>
      <c r="D13" s="78">
        <v>3</v>
      </c>
      <c r="E13" s="79">
        <v>60</v>
      </c>
      <c r="F13" s="79">
        <v>30</v>
      </c>
      <c r="G13" s="79">
        <v>0</v>
      </c>
      <c r="H13" s="79">
        <v>0</v>
      </c>
      <c r="I13" s="79">
        <v>30</v>
      </c>
      <c r="J13" s="79">
        <v>125</v>
      </c>
      <c r="K13" s="79">
        <v>5</v>
      </c>
      <c r="U13" s="608"/>
      <c r="V13" s="609"/>
      <c r="W13" s="609"/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09"/>
      <c r="AI13" s="609"/>
      <c r="AJ13" s="609"/>
      <c r="AK13" s="609"/>
      <c r="AL13" s="609"/>
      <c r="AM13" s="609"/>
      <c r="AN13" s="609"/>
      <c r="AO13" s="609"/>
      <c r="AP13" s="609"/>
      <c r="AQ13" s="609"/>
      <c r="AR13" s="609"/>
      <c r="AS13" s="609"/>
      <c r="AT13" s="609"/>
      <c r="AU13" s="609"/>
      <c r="AV13" s="609"/>
      <c r="AW13" s="609"/>
      <c r="AX13" s="609"/>
      <c r="AY13" s="609"/>
    </row>
    <row r="14" spans="1:51" ht="18.75" customHeight="1">
      <c r="A14" s="66">
        <v>2.5</v>
      </c>
      <c r="B14" s="68" t="s">
        <v>39</v>
      </c>
      <c r="C14" s="7" t="str">
        <f>"0912-7LEK-B"&amp;A14&amp;"-"&amp;UPPER(LEFT(B14,1))&amp;"zC"</f>
        <v>0912-7LEK-B2,5-FzC</v>
      </c>
      <c r="D14" s="78" t="s">
        <v>242</v>
      </c>
      <c r="E14" s="79">
        <v>160</v>
      </c>
      <c r="F14" s="79">
        <v>50</v>
      </c>
      <c r="G14" s="79">
        <v>50</v>
      </c>
      <c r="H14" s="79">
        <v>0</v>
      </c>
      <c r="I14" s="79">
        <v>60</v>
      </c>
      <c r="J14" s="79">
        <v>350</v>
      </c>
      <c r="K14" s="79">
        <v>14</v>
      </c>
      <c r="U14" s="622"/>
      <c r="V14" s="622"/>
      <c r="W14" s="50"/>
      <c r="X14" s="12"/>
      <c r="Y14" s="48"/>
      <c r="Z14" s="48"/>
      <c r="AA14" s="48"/>
      <c r="AB14" s="624"/>
      <c r="AC14" s="624"/>
      <c r="AD14" s="624"/>
      <c r="AE14" s="624"/>
      <c r="AF14" s="624"/>
      <c r="AG14" s="624"/>
      <c r="AH14" s="624"/>
      <c r="AI14" s="624"/>
      <c r="AJ14" s="624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ht="23.25">
      <c r="A15" s="66">
        <v>2.6</v>
      </c>
      <c r="B15" s="68" t="s">
        <v>40</v>
      </c>
      <c r="C15" s="7" t="str">
        <f>"0912-7LEK-B"&amp;A15&amp;"-"&amp;UPPER(LEFT(B15,1))&amp;""</f>
        <v>0912-7LEK-B2,6-P</v>
      </c>
      <c r="D15" s="78" t="s">
        <v>243</v>
      </c>
      <c r="E15" s="79">
        <v>90</v>
      </c>
      <c r="F15" s="79">
        <v>40</v>
      </c>
      <c r="G15" s="79">
        <v>50</v>
      </c>
      <c r="H15" s="79">
        <v>0</v>
      </c>
      <c r="I15" s="79">
        <v>0</v>
      </c>
      <c r="J15" s="79">
        <v>175</v>
      </c>
      <c r="K15" s="79">
        <v>7</v>
      </c>
      <c r="U15" s="623"/>
      <c r="V15" s="623"/>
      <c r="W15" s="51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ht="18.75" customHeight="1">
      <c r="A16" s="66">
        <v>2.7</v>
      </c>
      <c r="B16" s="68" t="s">
        <v>93</v>
      </c>
      <c r="C16" s="7" t="str">
        <f>"0912-7LEK-B"&amp;A16&amp;"-"&amp;UPPER(LEFT(B16,1))&amp;"zI"</f>
        <v>0912-7LEK-B2,7-BzI</v>
      </c>
      <c r="D16" s="78" t="s">
        <v>231</v>
      </c>
      <c r="E16" s="79">
        <v>80</v>
      </c>
      <c r="F16" s="79">
        <v>30</v>
      </c>
      <c r="G16" s="79">
        <v>50</v>
      </c>
      <c r="H16" s="79">
        <v>0</v>
      </c>
      <c r="I16" s="79">
        <v>0</v>
      </c>
      <c r="J16" s="79">
        <v>125</v>
      </c>
      <c r="K16" s="79">
        <v>5</v>
      </c>
    </row>
    <row r="17" spans="1:11" ht="18.75" customHeight="1">
      <c r="A17" s="66">
        <v>2.8</v>
      </c>
      <c r="B17" s="68" t="s">
        <v>91</v>
      </c>
      <c r="C17" s="7" t="str">
        <f>"0912-7LEK-B"&amp;A17&amp;"-"&amp;UPPER(LEFT(B17,1))&amp;"P"</f>
        <v>0912-7LEK-B2,8-PP</v>
      </c>
      <c r="D17" s="78">
        <v>2</v>
      </c>
      <c r="E17" s="79">
        <v>35</v>
      </c>
      <c r="F17" s="79">
        <v>0</v>
      </c>
      <c r="G17" s="79">
        <v>15</v>
      </c>
      <c r="H17" s="79">
        <v>20</v>
      </c>
      <c r="I17" s="79">
        <v>0</v>
      </c>
      <c r="J17" s="79">
        <v>50</v>
      </c>
      <c r="K17" s="79">
        <v>2</v>
      </c>
    </row>
    <row r="18" spans="1:11">
      <c r="A18" s="753" t="s">
        <v>9</v>
      </c>
      <c r="B18" s="754"/>
      <c r="C18" s="754"/>
      <c r="D18" s="755"/>
      <c r="E18" s="90">
        <f>SUM(E10:E17)</f>
        <v>570</v>
      </c>
      <c r="F18" s="90">
        <f t="shared" ref="F18:K18" si="1">SUM(F10:F17)</f>
        <v>215</v>
      </c>
      <c r="G18" s="90">
        <f t="shared" si="1"/>
        <v>180</v>
      </c>
      <c r="H18" s="90">
        <f t="shared" si="1"/>
        <v>20</v>
      </c>
      <c r="I18" s="90">
        <f t="shared" si="1"/>
        <v>155</v>
      </c>
      <c r="J18" s="90">
        <f t="shared" si="1"/>
        <v>1075</v>
      </c>
      <c r="K18" s="90">
        <f t="shared" si="1"/>
        <v>43</v>
      </c>
    </row>
    <row r="19" spans="1:11">
      <c r="A19" s="746" t="s">
        <v>24</v>
      </c>
      <c r="B19" s="747"/>
      <c r="C19" s="747"/>
      <c r="D19" s="747"/>
      <c r="E19" s="747"/>
      <c r="F19" s="747"/>
      <c r="G19" s="747"/>
      <c r="H19" s="747"/>
      <c r="I19" s="747"/>
      <c r="J19" s="747"/>
      <c r="K19" s="748"/>
    </row>
    <row r="20" spans="1:11" ht="15.75">
      <c r="A20" s="67">
        <v>3.1</v>
      </c>
      <c r="B20" s="91" t="s">
        <v>41</v>
      </c>
      <c r="C20" s="64" t="str">
        <f t="shared" ref="C20:C25" si="2">"0912-7LEK-C"&amp;A20&amp;"-"&amp;UPPER(LEFT(B20,1))</f>
        <v>0912-7LEK-C3,1-G</v>
      </c>
      <c r="D20" s="92">
        <v>3</v>
      </c>
      <c r="E20" s="93">
        <v>45</v>
      </c>
      <c r="F20" s="93">
        <v>15</v>
      </c>
      <c r="G20" s="93">
        <v>30</v>
      </c>
      <c r="H20" s="93">
        <v>0</v>
      </c>
      <c r="I20" s="93">
        <v>0</v>
      </c>
      <c r="J20" s="93">
        <v>100</v>
      </c>
      <c r="K20" s="93">
        <v>4</v>
      </c>
    </row>
    <row r="21" spans="1:11" ht="15.75">
      <c r="A21" s="66">
        <v>3.2</v>
      </c>
      <c r="B21" s="68" t="s">
        <v>42</v>
      </c>
      <c r="C21" s="7" t="str">
        <f t="shared" si="2"/>
        <v>0912-7LEK-C3,2-M</v>
      </c>
      <c r="D21" s="78" t="s">
        <v>242</v>
      </c>
      <c r="E21" s="79">
        <v>100</v>
      </c>
      <c r="F21" s="79">
        <v>20</v>
      </c>
      <c r="G21" s="79">
        <v>40</v>
      </c>
      <c r="H21" s="79">
        <v>0</v>
      </c>
      <c r="I21" s="79">
        <v>40</v>
      </c>
      <c r="J21" s="79">
        <v>200</v>
      </c>
      <c r="K21" s="79">
        <v>8</v>
      </c>
    </row>
    <row r="22" spans="1:11" ht="15.75">
      <c r="A22" s="66">
        <v>3.3</v>
      </c>
      <c r="B22" s="68" t="s">
        <v>43</v>
      </c>
      <c r="C22" s="7" t="str">
        <f t="shared" si="2"/>
        <v>0912-7LEK-C3,3-P</v>
      </c>
      <c r="D22" s="78">
        <v>4</v>
      </c>
      <c r="E22" s="79">
        <v>45</v>
      </c>
      <c r="F22" s="79">
        <v>15</v>
      </c>
      <c r="G22" s="79">
        <v>15</v>
      </c>
      <c r="H22" s="79">
        <v>0</v>
      </c>
      <c r="I22" s="79">
        <v>15</v>
      </c>
      <c r="J22" s="79">
        <v>75</v>
      </c>
      <c r="K22" s="79">
        <v>3</v>
      </c>
    </row>
    <row r="23" spans="1:11" ht="15.75">
      <c r="A23" s="66">
        <v>3.4</v>
      </c>
      <c r="B23" s="68" t="s">
        <v>44</v>
      </c>
      <c r="C23" s="7" t="str">
        <f t="shared" si="2"/>
        <v>0912-7LEK-C3,4-I</v>
      </c>
      <c r="D23" s="78" t="s">
        <v>234</v>
      </c>
      <c r="E23" s="79">
        <v>45</v>
      </c>
      <c r="F23" s="79">
        <v>15</v>
      </c>
      <c r="G23" s="79">
        <v>10</v>
      </c>
      <c r="H23" s="79">
        <v>0</v>
      </c>
      <c r="I23" s="79">
        <v>20</v>
      </c>
      <c r="J23" s="79">
        <v>75</v>
      </c>
      <c r="K23" s="79">
        <v>3</v>
      </c>
    </row>
    <row r="24" spans="1:11" ht="15.75">
      <c r="A24" s="66">
        <v>3.5</v>
      </c>
      <c r="B24" s="68" t="s">
        <v>45</v>
      </c>
      <c r="C24" s="7" t="str">
        <f t="shared" si="2"/>
        <v>0912-7LEK-C3,5-P</v>
      </c>
      <c r="D24" s="78" t="s">
        <v>243</v>
      </c>
      <c r="E24" s="79">
        <v>135</v>
      </c>
      <c r="F24" s="79">
        <v>45</v>
      </c>
      <c r="G24" s="79">
        <v>90</v>
      </c>
      <c r="H24" s="79">
        <v>0</v>
      </c>
      <c r="I24" s="79">
        <v>0</v>
      </c>
      <c r="J24" s="79">
        <v>275</v>
      </c>
      <c r="K24" s="79">
        <v>11</v>
      </c>
    </row>
    <row r="25" spans="1:11" ht="15.75">
      <c r="A25" s="66">
        <v>3.6</v>
      </c>
      <c r="B25" s="68" t="s">
        <v>46</v>
      </c>
      <c r="C25" s="7" t="str">
        <f t="shared" si="2"/>
        <v>0912-7LEK-C3,6-F</v>
      </c>
      <c r="D25" s="78" t="s">
        <v>243</v>
      </c>
      <c r="E25" s="79">
        <v>130</v>
      </c>
      <c r="F25" s="79">
        <v>50</v>
      </c>
      <c r="G25" s="79">
        <v>80</v>
      </c>
      <c r="H25" s="79">
        <v>0</v>
      </c>
      <c r="I25" s="79">
        <v>0</v>
      </c>
      <c r="J25" s="79">
        <v>250</v>
      </c>
      <c r="K25" s="79">
        <v>10</v>
      </c>
    </row>
    <row r="26" spans="1:11">
      <c r="A26" s="753" t="s">
        <v>9</v>
      </c>
      <c r="B26" s="754"/>
      <c r="C26" s="754"/>
      <c r="D26" s="755"/>
      <c r="E26" s="90">
        <f>SUM(E20:E25)</f>
        <v>500</v>
      </c>
      <c r="F26" s="90">
        <f t="shared" ref="F26:K26" si="3">SUM(F20:F25)</f>
        <v>160</v>
      </c>
      <c r="G26" s="90">
        <f t="shared" si="3"/>
        <v>265</v>
      </c>
      <c r="H26" s="90">
        <f t="shared" si="3"/>
        <v>0</v>
      </c>
      <c r="I26" s="90">
        <f t="shared" si="3"/>
        <v>75</v>
      </c>
      <c r="J26" s="90">
        <f t="shared" si="3"/>
        <v>975</v>
      </c>
      <c r="K26" s="90">
        <f t="shared" si="3"/>
        <v>39</v>
      </c>
    </row>
    <row r="27" spans="1:11">
      <c r="A27" s="746" t="s">
        <v>34</v>
      </c>
      <c r="B27" s="747"/>
      <c r="C27" s="747"/>
      <c r="D27" s="747"/>
      <c r="E27" s="747"/>
      <c r="F27" s="747"/>
      <c r="G27" s="747"/>
      <c r="H27" s="747"/>
      <c r="I27" s="747"/>
      <c r="J27" s="747"/>
      <c r="K27" s="748"/>
    </row>
    <row r="28" spans="1:11" ht="15.75">
      <c r="A28" s="63">
        <v>4.0999999999999996</v>
      </c>
      <c r="B28" s="91" t="s">
        <v>47</v>
      </c>
      <c r="C28" s="64" t="str">
        <f>"0912-7LEK-B"&amp;A28&amp;"-"&amp;UPPER(LEFT(B28,1))</f>
        <v>0912-7LEK-B4,1-S</v>
      </c>
      <c r="D28" s="92">
        <v>2</v>
      </c>
      <c r="E28" s="93">
        <v>15</v>
      </c>
      <c r="F28" s="93">
        <v>15</v>
      </c>
      <c r="G28" s="93">
        <v>0</v>
      </c>
      <c r="H28" s="93">
        <v>0</v>
      </c>
      <c r="I28" s="93">
        <v>0</v>
      </c>
      <c r="J28" s="93">
        <v>25</v>
      </c>
      <c r="K28" s="93">
        <v>1</v>
      </c>
    </row>
    <row r="29" spans="1:11" ht="15.75">
      <c r="A29" s="66">
        <v>4.2</v>
      </c>
      <c r="B29" s="68" t="s">
        <v>48</v>
      </c>
      <c r="C29" s="7" t="str">
        <f>"0912-7LEK-B"&amp;A29&amp;"-"&amp;UPPER(LEFT(B29,1))</f>
        <v>0912-7LEK-B4,2-P</v>
      </c>
      <c r="D29" s="78">
        <v>2</v>
      </c>
      <c r="E29" s="79">
        <v>15</v>
      </c>
      <c r="F29" s="79">
        <v>15</v>
      </c>
      <c r="G29" s="79">
        <v>0</v>
      </c>
      <c r="H29" s="79">
        <v>0</v>
      </c>
      <c r="I29" s="79">
        <v>0</v>
      </c>
      <c r="J29" s="79">
        <v>25</v>
      </c>
      <c r="K29" s="79">
        <v>1</v>
      </c>
    </row>
    <row r="30" spans="1:11" ht="15.75">
      <c r="A30" s="3">
        <v>4.3</v>
      </c>
      <c r="B30" s="68" t="s">
        <v>49</v>
      </c>
      <c r="C30" s="7" t="str">
        <f>"0912-7LEK-B"&amp;A30&amp;"-"&amp;UPPER(LEFT(B30,1))</f>
        <v>0912-7LEK-B4,3-E</v>
      </c>
      <c r="D30" s="78">
        <v>1</v>
      </c>
      <c r="E30" s="79">
        <v>15</v>
      </c>
      <c r="F30" s="79">
        <v>15</v>
      </c>
      <c r="G30" s="79">
        <v>0</v>
      </c>
      <c r="H30" s="79">
        <v>0</v>
      </c>
      <c r="I30" s="79">
        <v>0</v>
      </c>
      <c r="J30" s="79">
        <v>25</v>
      </c>
      <c r="K30" s="79">
        <v>1</v>
      </c>
    </row>
    <row r="31" spans="1:11" ht="15.75">
      <c r="A31" s="66">
        <v>4.4000000000000004</v>
      </c>
      <c r="B31" s="68" t="s">
        <v>92</v>
      </c>
      <c r="C31" s="7" t="str">
        <f>"0912-7LEK-B"&amp;A31&amp;"-"&amp;UPPER(LEFT(B31,1))</f>
        <v>0912-7LEK-B4,4-E</v>
      </c>
      <c r="D31" s="78">
        <v>1</v>
      </c>
      <c r="E31" s="79">
        <v>15</v>
      </c>
      <c r="F31" s="79">
        <v>15</v>
      </c>
      <c r="G31" s="79">
        <v>0</v>
      </c>
      <c r="H31" s="79">
        <v>0</v>
      </c>
      <c r="I31" s="79">
        <v>0</v>
      </c>
      <c r="J31" s="79">
        <v>25</v>
      </c>
      <c r="K31" s="79">
        <v>1</v>
      </c>
    </row>
    <row r="32" spans="1:11" ht="15.75">
      <c r="A32" s="63">
        <v>4.5</v>
      </c>
      <c r="B32" s="68" t="s">
        <v>50</v>
      </c>
      <c r="C32" s="7" t="str">
        <f>"0912-7LEK-B"&amp;A32&amp;"-"&amp;UPPER(LEFT(B32,1))</f>
        <v>0912-7LEK-B4,5-H</v>
      </c>
      <c r="D32" s="78" t="s">
        <v>232</v>
      </c>
      <c r="E32" s="79">
        <v>30</v>
      </c>
      <c r="F32" s="79">
        <v>30</v>
      </c>
      <c r="G32" s="79">
        <v>0</v>
      </c>
      <c r="H32" s="79">
        <v>0</v>
      </c>
      <c r="I32" s="79">
        <v>0</v>
      </c>
      <c r="J32" s="79">
        <v>0</v>
      </c>
      <c r="K32" s="79">
        <v>1</v>
      </c>
    </row>
    <row r="33" spans="1:11">
      <c r="A33" s="753" t="s">
        <v>9</v>
      </c>
      <c r="B33" s="754"/>
      <c r="C33" s="754"/>
      <c r="D33" s="755"/>
      <c r="E33" s="90">
        <f t="shared" ref="E33:K33" si="4">SUM(E28:E32)</f>
        <v>90</v>
      </c>
      <c r="F33" s="90">
        <f t="shared" si="4"/>
        <v>90</v>
      </c>
      <c r="G33" s="90">
        <f t="shared" si="4"/>
        <v>0</v>
      </c>
      <c r="H33" s="90">
        <f t="shared" si="4"/>
        <v>0</v>
      </c>
      <c r="I33" s="90">
        <f t="shared" si="4"/>
        <v>0</v>
      </c>
      <c r="J33" s="90">
        <f t="shared" si="4"/>
        <v>100</v>
      </c>
      <c r="K33" s="90">
        <f t="shared" si="4"/>
        <v>5</v>
      </c>
    </row>
    <row r="34" spans="1:11">
      <c r="A34" s="746" t="s">
        <v>25</v>
      </c>
      <c r="B34" s="747"/>
      <c r="C34" s="747"/>
      <c r="D34" s="747"/>
      <c r="E34" s="747"/>
      <c r="F34" s="747"/>
      <c r="G34" s="747"/>
      <c r="H34" s="747"/>
      <c r="I34" s="747"/>
      <c r="J34" s="747"/>
      <c r="K34" s="748"/>
    </row>
    <row r="35" spans="1:11" ht="15.75">
      <c r="A35" s="63">
        <v>5.0999999999999996</v>
      </c>
      <c r="B35" s="91" t="s">
        <v>51</v>
      </c>
      <c r="C35" s="64" t="str">
        <f>"0912-7LEK-C"&amp;A35&amp;"-"&amp;UPPER(LEFT(B35,1))</f>
        <v>0912-7LEK-C5,1-P</v>
      </c>
      <c r="D35" s="92" t="s">
        <v>263</v>
      </c>
      <c r="E35" s="93">
        <v>240</v>
      </c>
      <c r="F35" s="93">
        <v>60</v>
      </c>
      <c r="G35" s="93">
        <v>70</v>
      </c>
      <c r="H35" s="93">
        <v>110</v>
      </c>
      <c r="I35" s="93">
        <v>0</v>
      </c>
      <c r="J35" s="93">
        <v>375</v>
      </c>
      <c r="K35" s="93">
        <v>15</v>
      </c>
    </row>
    <row r="36" spans="1:11" ht="15.75">
      <c r="A36" s="3">
        <v>5.2</v>
      </c>
      <c r="B36" s="68" t="s">
        <v>80</v>
      </c>
      <c r="C36" s="7" t="str">
        <f>"0912-7LEK-C"&amp;A36&amp;"-"&amp;UPPER(LEFT(B36,1))&amp;"W"</f>
        <v>0912-7LEK-C5,2-CW</v>
      </c>
      <c r="D36" s="78" t="s">
        <v>263</v>
      </c>
      <c r="E36" s="79">
        <v>210</v>
      </c>
      <c r="F36" s="79">
        <v>60</v>
      </c>
      <c r="G36" s="79">
        <v>60</v>
      </c>
      <c r="H36" s="79">
        <v>90</v>
      </c>
      <c r="I36" s="79">
        <v>0</v>
      </c>
      <c r="J36" s="79">
        <v>300</v>
      </c>
      <c r="K36" s="79">
        <v>12</v>
      </c>
    </row>
    <row r="37" spans="1:11" ht="15.75">
      <c r="A37" s="3">
        <v>5.3</v>
      </c>
      <c r="B37" s="68" t="s">
        <v>52</v>
      </c>
      <c r="C37" s="7" t="str">
        <f t="shared" ref="C37:C44" si="5">"0912-7LEK-C"&amp;A37&amp;"-"&amp;UPPER(LEFT(B37,1))</f>
        <v>0912-7LEK-C5,3-G</v>
      </c>
      <c r="D37" s="78">
        <v>10</v>
      </c>
      <c r="E37" s="79">
        <v>55</v>
      </c>
      <c r="F37" s="79">
        <v>15</v>
      </c>
      <c r="G37" s="79">
        <v>40</v>
      </c>
      <c r="H37" s="79">
        <v>0</v>
      </c>
      <c r="I37" s="79">
        <v>0</v>
      </c>
      <c r="J37" s="79">
        <v>75</v>
      </c>
      <c r="K37" s="79">
        <v>3</v>
      </c>
    </row>
    <row r="38" spans="1:11" ht="15.75">
      <c r="A38" s="3">
        <v>5.4</v>
      </c>
      <c r="B38" s="68" t="s">
        <v>53</v>
      </c>
      <c r="C38" s="7" t="str">
        <f t="shared" si="5"/>
        <v>0912-7LEK-C5,4-N</v>
      </c>
      <c r="D38" s="78">
        <v>7</v>
      </c>
      <c r="E38" s="79">
        <v>60</v>
      </c>
      <c r="F38" s="79">
        <v>15</v>
      </c>
      <c r="G38" s="79">
        <v>15</v>
      </c>
      <c r="H38" s="79">
        <v>30</v>
      </c>
      <c r="I38" s="79">
        <v>0</v>
      </c>
      <c r="J38" s="79">
        <v>100</v>
      </c>
      <c r="K38" s="79">
        <v>4</v>
      </c>
    </row>
    <row r="39" spans="1:11" ht="15.75">
      <c r="A39" s="3">
        <v>5.5</v>
      </c>
      <c r="B39" s="68" t="s">
        <v>54</v>
      </c>
      <c r="C39" s="7" t="str">
        <f t="shared" si="5"/>
        <v>0912-7LEK-C5,5-P</v>
      </c>
      <c r="D39" s="78">
        <v>8</v>
      </c>
      <c r="E39" s="79">
        <v>60</v>
      </c>
      <c r="F39" s="79">
        <v>15</v>
      </c>
      <c r="G39" s="79">
        <v>15</v>
      </c>
      <c r="H39" s="79">
        <v>30</v>
      </c>
      <c r="I39" s="79">
        <v>0</v>
      </c>
      <c r="J39" s="79">
        <v>100</v>
      </c>
      <c r="K39" s="79">
        <v>4</v>
      </c>
    </row>
    <row r="40" spans="1:11" ht="15.75">
      <c r="A40" s="3">
        <v>5.6</v>
      </c>
      <c r="B40" s="68" t="s">
        <v>55</v>
      </c>
      <c r="C40" s="7" t="str">
        <f t="shared" si="5"/>
        <v>0912-7LEK-C5,6-O</v>
      </c>
      <c r="D40" s="78">
        <v>7</v>
      </c>
      <c r="E40" s="79">
        <v>55</v>
      </c>
      <c r="F40" s="79">
        <v>15</v>
      </c>
      <c r="G40" s="79">
        <v>15</v>
      </c>
      <c r="H40" s="79">
        <v>25</v>
      </c>
      <c r="I40" s="79">
        <v>0</v>
      </c>
      <c r="J40" s="79">
        <v>100</v>
      </c>
      <c r="K40" s="79">
        <v>4</v>
      </c>
    </row>
    <row r="41" spans="1:11" ht="15.75">
      <c r="A41" s="3">
        <v>5.7</v>
      </c>
      <c r="B41" s="68" t="s">
        <v>56</v>
      </c>
      <c r="C41" s="7" t="str">
        <f>"0912-7LEK-C"&amp;A41&amp;"-"&amp;UPPER(LEFT(B41,1))&amp;"R"</f>
        <v>0912-7LEK-C5,7-MR</v>
      </c>
      <c r="D41" s="78">
        <v>9</v>
      </c>
      <c r="E41" s="79">
        <v>55</v>
      </c>
      <c r="F41" s="79">
        <v>15</v>
      </c>
      <c r="G41" s="79">
        <v>40</v>
      </c>
      <c r="H41" s="79">
        <v>0</v>
      </c>
      <c r="I41" s="79">
        <v>0</v>
      </c>
      <c r="J41" s="79">
        <v>100</v>
      </c>
      <c r="K41" s="79">
        <v>4</v>
      </c>
    </row>
    <row r="42" spans="1:11" ht="15.75">
      <c r="A42" s="3">
        <v>5.8</v>
      </c>
      <c r="B42" s="68" t="s">
        <v>57</v>
      </c>
      <c r="C42" s="7" t="str">
        <f>"0912-7LEK-C"&amp;A42&amp;"-"&amp;UPPER(LEFT(B42,1))&amp;"iW"</f>
        <v>0912-7LEK-C5,8-DiW</v>
      </c>
      <c r="D42" s="78">
        <v>6</v>
      </c>
      <c r="E42" s="79">
        <v>55</v>
      </c>
      <c r="F42" s="79">
        <v>15</v>
      </c>
      <c r="G42" s="79">
        <v>15</v>
      </c>
      <c r="H42" s="79">
        <v>25</v>
      </c>
      <c r="I42" s="79">
        <v>0</v>
      </c>
      <c r="J42" s="79">
        <v>75</v>
      </c>
      <c r="K42" s="79">
        <v>3</v>
      </c>
    </row>
    <row r="43" spans="1:11" ht="15.75">
      <c r="A43" s="3">
        <v>5.9</v>
      </c>
      <c r="B43" s="68" t="s">
        <v>58</v>
      </c>
      <c r="C43" s="7" t="str">
        <f>"0912-7LEK-C"&amp;A43&amp;"-"&amp;UPPER(LEFT(B43,1))&amp;"Z"</f>
        <v>0912-7LEK-C5,9-CZ</v>
      </c>
      <c r="D43" s="78" t="s">
        <v>143</v>
      </c>
      <c r="E43" s="79">
        <v>70</v>
      </c>
      <c r="F43" s="79">
        <v>15</v>
      </c>
      <c r="G43" s="79">
        <v>20</v>
      </c>
      <c r="H43" s="79">
        <v>35</v>
      </c>
      <c r="I43" s="79">
        <v>0</v>
      </c>
      <c r="J43" s="79">
        <v>100</v>
      </c>
      <c r="K43" s="79">
        <v>4</v>
      </c>
    </row>
    <row r="44" spans="1:11" ht="15.75">
      <c r="A44" s="70">
        <v>5.0999999999999996</v>
      </c>
      <c r="B44" s="68" t="s">
        <v>59</v>
      </c>
      <c r="C44" s="7" t="str">
        <f t="shared" si="5"/>
        <v>0912-7LEK-C5,1-R</v>
      </c>
      <c r="D44" s="78">
        <v>7</v>
      </c>
      <c r="E44" s="79">
        <v>50</v>
      </c>
      <c r="F44" s="79">
        <v>15</v>
      </c>
      <c r="G44" s="79">
        <v>15</v>
      </c>
      <c r="H44" s="79">
        <v>20</v>
      </c>
      <c r="I44" s="79">
        <v>0</v>
      </c>
      <c r="J44" s="79">
        <v>70</v>
      </c>
      <c r="K44" s="79">
        <v>3</v>
      </c>
    </row>
    <row r="45" spans="1:11" ht="15.75">
      <c r="A45" s="70">
        <v>5.1100000000000003</v>
      </c>
      <c r="B45" s="68" t="s">
        <v>60</v>
      </c>
      <c r="C45" s="7" t="str">
        <f>"0912-7LEK-C"&amp;A45&amp;"-"&amp;UPPER(LEFT(B45,1))&amp;"L"</f>
        <v>0912-7LEK-C5,11-DL</v>
      </c>
      <c r="D45" s="78" t="s">
        <v>141</v>
      </c>
      <c r="E45" s="79">
        <v>55</v>
      </c>
      <c r="F45" s="79">
        <v>15</v>
      </c>
      <c r="G45" s="79">
        <v>40</v>
      </c>
      <c r="H45" s="79">
        <v>0</v>
      </c>
      <c r="I45" s="79">
        <v>0</v>
      </c>
      <c r="J45" s="79">
        <v>100</v>
      </c>
      <c r="K45" s="79">
        <v>4</v>
      </c>
    </row>
    <row r="46" spans="1:11" ht="15.75">
      <c r="A46" s="70">
        <v>5.12</v>
      </c>
      <c r="B46" s="68" t="s">
        <v>61</v>
      </c>
      <c r="C46" s="7" t="str">
        <f>"0912-7LEK-C"&amp;A46&amp;"-"&amp;UPPER(LEFT(B46,1))&amp;"K"</f>
        <v>0912-7LEK-C5,12-FK</v>
      </c>
      <c r="D46" s="78" t="s">
        <v>140</v>
      </c>
      <c r="E46" s="79">
        <v>45</v>
      </c>
      <c r="F46" s="79">
        <v>20</v>
      </c>
      <c r="G46" s="79">
        <v>10</v>
      </c>
      <c r="H46" s="79">
        <v>15</v>
      </c>
      <c r="I46" s="79">
        <v>0</v>
      </c>
      <c r="J46" s="79">
        <v>65</v>
      </c>
      <c r="K46" s="79">
        <v>3</v>
      </c>
    </row>
    <row r="47" spans="1:11">
      <c r="A47" s="753" t="s">
        <v>9</v>
      </c>
      <c r="B47" s="754"/>
      <c r="C47" s="754"/>
      <c r="D47" s="755"/>
      <c r="E47" s="90">
        <f>SUM(E35:E46)</f>
        <v>1010</v>
      </c>
      <c r="F47" s="90">
        <f t="shared" ref="F47:K47" si="6">SUM(F35:F46)</f>
        <v>275</v>
      </c>
      <c r="G47" s="90">
        <f t="shared" si="6"/>
        <v>355</v>
      </c>
      <c r="H47" s="90">
        <f t="shared" si="6"/>
        <v>380</v>
      </c>
      <c r="I47" s="90">
        <f t="shared" si="6"/>
        <v>0</v>
      </c>
      <c r="J47" s="90">
        <f t="shared" si="6"/>
        <v>1560</v>
      </c>
      <c r="K47" s="90">
        <f t="shared" si="6"/>
        <v>63</v>
      </c>
    </row>
    <row r="48" spans="1:11">
      <c r="A48" s="746" t="s">
        <v>26</v>
      </c>
      <c r="B48" s="747"/>
      <c r="C48" s="747"/>
      <c r="D48" s="747"/>
      <c r="E48" s="747"/>
      <c r="F48" s="747"/>
      <c r="G48" s="747"/>
      <c r="H48" s="747"/>
      <c r="I48" s="747"/>
      <c r="J48" s="747"/>
      <c r="K48" s="748"/>
    </row>
    <row r="49" spans="1:11" ht="15.75">
      <c r="A49" s="63">
        <v>6.1</v>
      </c>
      <c r="B49" s="91" t="s">
        <v>62</v>
      </c>
      <c r="C49" s="161" t="str">
        <f>"0912-7LEK-C"&amp;A49&amp;"-"&amp;UPPER(LEFT(B49,1))&amp;"iIT"</f>
        <v>0912-7LEK-C6,1-AiIT</v>
      </c>
      <c r="D49" s="162" t="s">
        <v>236</v>
      </c>
      <c r="E49" s="163">
        <v>95</v>
      </c>
      <c r="F49" s="163">
        <v>30</v>
      </c>
      <c r="G49" s="163">
        <v>30</v>
      </c>
      <c r="H49" s="163">
        <v>35</v>
      </c>
      <c r="I49" s="163">
        <v>0</v>
      </c>
      <c r="J49" s="163">
        <v>125</v>
      </c>
      <c r="K49" s="163">
        <v>5</v>
      </c>
    </row>
    <row r="50" spans="1:11" ht="15.75">
      <c r="A50" s="3">
        <v>6.2</v>
      </c>
      <c r="B50" s="68" t="s">
        <v>63</v>
      </c>
      <c r="C50" s="64" t="str">
        <f>"0912-7LEK-C"&amp;A50&amp;"-"&amp;UPPER(LEFT(B50,1))&amp;""</f>
        <v>0912-7LEK-C6,2-C</v>
      </c>
      <c r="D50" s="78" t="s">
        <v>237</v>
      </c>
      <c r="E50" s="79">
        <v>255</v>
      </c>
      <c r="F50" s="79">
        <v>90</v>
      </c>
      <c r="G50" s="79">
        <v>90</v>
      </c>
      <c r="H50" s="79">
        <v>75</v>
      </c>
      <c r="I50" s="79">
        <v>0</v>
      </c>
      <c r="J50" s="79">
        <v>375</v>
      </c>
      <c r="K50" s="79">
        <v>15</v>
      </c>
    </row>
    <row r="51" spans="1:11" ht="15.75">
      <c r="A51" s="3">
        <v>6.3</v>
      </c>
      <c r="B51" s="68" t="s">
        <v>64</v>
      </c>
      <c r="C51" s="64" t="str">
        <f>"0912-7LEK-C"&amp;A51&amp;"-"&amp;UPPER(LEFT(B51,1))&amp;"D"</f>
        <v>0912-7LEK-C6,3-CD</v>
      </c>
      <c r="D51" s="78">
        <v>9</v>
      </c>
      <c r="E51" s="79">
        <v>55</v>
      </c>
      <c r="F51" s="79">
        <v>15</v>
      </c>
      <c r="G51" s="79">
        <v>15</v>
      </c>
      <c r="H51" s="79">
        <v>25</v>
      </c>
      <c r="I51" s="79">
        <v>0</v>
      </c>
      <c r="J51" s="79">
        <v>75</v>
      </c>
      <c r="K51" s="79">
        <v>3</v>
      </c>
    </row>
    <row r="52" spans="1:11" ht="15.75">
      <c r="A52" s="3">
        <v>6.4</v>
      </c>
      <c r="B52" s="68" t="s">
        <v>65</v>
      </c>
      <c r="C52" s="64" t="str">
        <f>"0912-7LEK-C"&amp;A52&amp;"-"&amp;UPPER(LEFT(B52,1))&amp;"iT"</f>
        <v>0912-7LEK-C6,4-OiT</v>
      </c>
      <c r="D52" s="78">
        <v>10</v>
      </c>
      <c r="E52" s="79">
        <v>55</v>
      </c>
      <c r="F52" s="79">
        <v>15</v>
      </c>
      <c r="G52" s="79">
        <v>15</v>
      </c>
      <c r="H52" s="79">
        <v>25</v>
      </c>
      <c r="I52" s="79">
        <v>0</v>
      </c>
      <c r="J52" s="79">
        <v>75</v>
      </c>
      <c r="K52" s="79">
        <v>3</v>
      </c>
    </row>
    <row r="53" spans="1:11" ht="15.75">
      <c r="A53" s="3">
        <v>6.5</v>
      </c>
      <c r="B53" s="68" t="s">
        <v>66</v>
      </c>
      <c r="C53" s="64" t="str">
        <f>"0912-7LEK-C"&amp;A53&amp;"-"&amp;UPPER(LEFT(B53,1))&amp;"O"</f>
        <v>0912-7LEK-C6,5-CO</v>
      </c>
      <c r="D53" s="78">
        <v>10</v>
      </c>
      <c r="E53" s="79">
        <v>45</v>
      </c>
      <c r="F53" s="79">
        <v>15</v>
      </c>
      <c r="G53" s="79">
        <v>10</v>
      </c>
      <c r="H53" s="79">
        <v>20</v>
      </c>
      <c r="I53" s="79">
        <v>0</v>
      </c>
      <c r="J53" s="79">
        <v>50</v>
      </c>
      <c r="K53" s="79">
        <v>2</v>
      </c>
    </row>
    <row r="54" spans="1:11" ht="15.75">
      <c r="A54" s="3">
        <v>6.6</v>
      </c>
      <c r="B54" s="71" t="s">
        <v>67</v>
      </c>
      <c r="C54" s="64" t="str">
        <f>"0912-7LEK-C"&amp;A54&amp;"-"&amp;UPPER(LEFT(B54,1))&amp;""</f>
        <v>0912-7LEK-C6,6-U</v>
      </c>
      <c r="D54" s="78">
        <v>10</v>
      </c>
      <c r="E54" s="79">
        <v>45</v>
      </c>
      <c r="F54" s="79">
        <v>15</v>
      </c>
      <c r="G54" s="79">
        <v>15</v>
      </c>
      <c r="H54" s="79">
        <v>15</v>
      </c>
      <c r="I54" s="79">
        <v>0</v>
      </c>
      <c r="J54" s="79">
        <v>75</v>
      </c>
      <c r="K54" s="79">
        <v>3</v>
      </c>
    </row>
    <row r="55" spans="1:11" ht="15.75">
      <c r="A55" s="3">
        <v>6.7</v>
      </c>
      <c r="B55" s="71" t="s">
        <v>68</v>
      </c>
      <c r="C55" s="64" t="str">
        <f>"0912-7LEK-C"&amp;A55&amp;"-"&amp;UPPER(LEFT(B55,1))&amp;""</f>
        <v>0912-7LEK-C6,7-O</v>
      </c>
      <c r="D55" s="78">
        <v>9</v>
      </c>
      <c r="E55" s="79">
        <v>45</v>
      </c>
      <c r="F55" s="79">
        <v>15</v>
      </c>
      <c r="G55" s="79">
        <v>30</v>
      </c>
      <c r="H55" s="79">
        <v>0</v>
      </c>
      <c r="I55" s="79">
        <v>0</v>
      </c>
      <c r="J55" s="79">
        <v>75</v>
      </c>
      <c r="K55" s="79">
        <v>3</v>
      </c>
    </row>
    <row r="56" spans="1:11" ht="18.75" customHeight="1">
      <c r="A56" s="3">
        <v>6.8</v>
      </c>
      <c r="B56" s="71" t="s">
        <v>69</v>
      </c>
      <c r="C56" s="64" t="str">
        <f>"0912-7LEK-C"&amp;A56&amp;"-"&amp;UPPER(LEFT(B56,1))&amp;"R"</f>
        <v>0912-7LEK-C6,8-MR</v>
      </c>
      <c r="D56" s="78">
        <v>10</v>
      </c>
      <c r="E56" s="79">
        <v>40</v>
      </c>
      <c r="F56" s="79">
        <v>15</v>
      </c>
      <c r="G56" s="79">
        <v>10</v>
      </c>
      <c r="H56" s="79">
        <v>15</v>
      </c>
      <c r="I56" s="79">
        <v>0</v>
      </c>
      <c r="J56" s="79">
        <v>50</v>
      </c>
      <c r="K56" s="79">
        <v>2</v>
      </c>
    </row>
    <row r="57" spans="1:11" ht="15.75">
      <c r="A57" s="3">
        <v>6.9</v>
      </c>
      <c r="B57" s="71" t="s">
        <v>70</v>
      </c>
      <c r="C57" s="64" t="str">
        <f>"0912-7LEK-C"&amp;A57&amp;"-"&amp;UPPER(LEFT(B57,1))&amp;"iP"</f>
        <v>0912-7LEK-C6,9-GiP</v>
      </c>
      <c r="D57" s="78" t="s">
        <v>238</v>
      </c>
      <c r="E57" s="79">
        <v>110</v>
      </c>
      <c r="F57" s="79">
        <v>30</v>
      </c>
      <c r="G57" s="79">
        <v>55</v>
      </c>
      <c r="H57" s="79">
        <v>25</v>
      </c>
      <c r="I57" s="79">
        <v>0</v>
      </c>
      <c r="J57" s="79">
        <v>150</v>
      </c>
      <c r="K57" s="79">
        <v>6</v>
      </c>
    </row>
    <row r="58" spans="1:11" ht="15.75">
      <c r="A58" s="70">
        <v>6.1</v>
      </c>
      <c r="B58" s="71" t="s">
        <v>71</v>
      </c>
      <c r="C58" s="64" t="str">
        <f>"0912-7LEK-C"&amp;A58&amp;"-"&amp;UPPER(LEFT(B58,1))&amp;""</f>
        <v>0912-7LEK-C6,1-O</v>
      </c>
      <c r="D58" s="78">
        <v>10</v>
      </c>
      <c r="E58" s="79">
        <v>40</v>
      </c>
      <c r="F58" s="79">
        <v>15</v>
      </c>
      <c r="G58" s="79">
        <v>10</v>
      </c>
      <c r="H58" s="79">
        <v>15</v>
      </c>
      <c r="I58" s="79">
        <v>0</v>
      </c>
      <c r="J58" s="79">
        <v>50</v>
      </c>
      <c r="K58" s="79">
        <v>2</v>
      </c>
    </row>
    <row r="59" spans="1:11" ht="15.75">
      <c r="A59" s="70">
        <v>6.11</v>
      </c>
      <c r="B59" s="71" t="s">
        <v>72</v>
      </c>
      <c r="C59" s="64" t="str">
        <f>"0912-7LEK-C"&amp;A59&amp;"-"&amp;UPPER(LEFT(B59,1))&amp;""</f>
        <v>0912-7LEK-C6,11-N</v>
      </c>
      <c r="D59" s="78">
        <v>10</v>
      </c>
      <c r="E59" s="79">
        <v>45</v>
      </c>
      <c r="F59" s="79">
        <v>15</v>
      </c>
      <c r="G59" s="79">
        <v>15</v>
      </c>
      <c r="H59" s="79">
        <v>15</v>
      </c>
      <c r="I59" s="79">
        <v>0</v>
      </c>
      <c r="J59" s="79">
        <v>50</v>
      </c>
      <c r="K59" s="79">
        <v>2</v>
      </c>
    </row>
    <row r="60" spans="1:11" ht="15.75">
      <c r="A60" s="70">
        <v>6.12</v>
      </c>
      <c r="B60" s="71" t="s">
        <v>73</v>
      </c>
      <c r="C60" s="64" t="str">
        <f>"0912-7LEK-C"&amp;A60&amp;"-"&amp;UPPER(LEFT(B60,1))&amp;""</f>
        <v>0912-7LEK-C6,12-T</v>
      </c>
      <c r="D60" s="78" t="s">
        <v>125</v>
      </c>
      <c r="E60" s="79">
        <v>15</v>
      </c>
      <c r="F60" s="79">
        <v>15</v>
      </c>
      <c r="G60" s="79">
        <v>0</v>
      </c>
      <c r="H60" s="79">
        <v>0</v>
      </c>
      <c r="I60" s="79">
        <v>0</v>
      </c>
      <c r="J60" s="79">
        <v>25</v>
      </c>
      <c r="K60" s="79">
        <v>1</v>
      </c>
    </row>
    <row r="61" spans="1:11" ht="15.75">
      <c r="A61" s="70">
        <v>6.13</v>
      </c>
      <c r="B61" s="71" t="s">
        <v>74</v>
      </c>
      <c r="C61" s="64" t="str">
        <f>"0912-7LEK-C"&amp;A61&amp;"-"&amp;UPPER(LEFT(B61,1))&amp;"O"</f>
        <v>0912-7LEK-C6,13-DO</v>
      </c>
      <c r="D61" s="78">
        <v>8</v>
      </c>
      <c r="E61" s="79">
        <v>55</v>
      </c>
      <c r="F61" s="79">
        <v>15</v>
      </c>
      <c r="G61" s="79">
        <v>15</v>
      </c>
      <c r="H61" s="79">
        <v>25</v>
      </c>
      <c r="I61" s="79">
        <v>0</v>
      </c>
      <c r="J61" s="79">
        <v>75</v>
      </c>
      <c r="K61" s="79">
        <v>3</v>
      </c>
    </row>
    <row r="62" spans="1:11">
      <c r="A62" s="753" t="s">
        <v>9</v>
      </c>
      <c r="B62" s="754"/>
      <c r="C62" s="754"/>
      <c r="D62" s="755"/>
      <c r="E62" s="90">
        <f>SUM(E49:E61)</f>
        <v>900</v>
      </c>
      <c r="F62" s="90">
        <f t="shared" ref="F62:K62" si="7">SUM(F49:F61)</f>
        <v>300</v>
      </c>
      <c r="G62" s="90">
        <f t="shared" si="7"/>
        <v>310</v>
      </c>
      <c r="H62" s="90">
        <f t="shared" si="7"/>
        <v>290</v>
      </c>
      <c r="I62" s="90">
        <f t="shared" si="7"/>
        <v>0</v>
      </c>
      <c r="J62" s="90">
        <f t="shared" si="7"/>
        <v>1250</v>
      </c>
      <c r="K62" s="90">
        <f t="shared" si="7"/>
        <v>50</v>
      </c>
    </row>
    <row r="63" spans="1:11" s="95" customFormat="1">
      <c r="A63" s="746" t="s">
        <v>27</v>
      </c>
      <c r="B63" s="747"/>
      <c r="C63" s="747"/>
      <c r="D63" s="747"/>
      <c r="E63" s="747"/>
      <c r="F63" s="747"/>
      <c r="G63" s="747"/>
      <c r="H63" s="747"/>
      <c r="I63" s="747"/>
      <c r="J63" s="747"/>
      <c r="K63" s="748"/>
    </row>
    <row r="64" spans="1:11" ht="15.75">
      <c r="A64" s="63">
        <v>7.1</v>
      </c>
      <c r="B64" s="94" t="s">
        <v>75</v>
      </c>
      <c r="C64" s="64" t="str">
        <f>"0912-7LEK-C"&amp;A64&amp;"-"&amp;UPPER(LEFT(B64,1))</f>
        <v>0912-7LEK-C7,1-H</v>
      </c>
      <c r="D64" s="92" t="s">
        <v>234</v>
      </c>
      <c r="E64" s="93">
        <v>15</v>
      </c>
      <c r="F64" s="93">
        <v>15</v>
      </c>
      <c r="G64" s="93">
        <v>0</v>
      </c>
      <c r="H64" s="93">
        <v>0</v>
      </c>
      <c r="I64" s="93">
        <v>0</v>
      </c>
      <c r="J64" s="93">
        <v>25</v>
      </c>
      <c r="K64" s="93">
        <v>1</v>
      </c>
    </row>
    <row r="65" spans="1:11" ht="15.75">
      <c r="A65" s="3">
        <v>7.2</v>
      </c>
      <c r="B65" s="71" t="s">
        <v>76</v>
      </c>
      <c r="C65" s="7" t="str">
        <f>"0912-7LEK-C"&amp;A65&amp;"-"&amp;UPPER(LEFT(B65,1))</f>
        <v>0912-7LEK-C7,2-E</v>
      </c>
      <c r="D65" s="78" t="s">
        <v>234</v>
      </c>
      <c r="E65" s="79">
        <v>15</v>
      </c>
      <c r="F65" s="79">
        <v>15</v>
      </c>
      <c r="G65" s="79">
        <v>0</v>
      </c>
      <c r="H65" s="79">
        <v>0</v>
      </c>
      <c r="I65" s="79">
        <v>0</v>
      </c>
      <c r="J65" s="79">
        <v>25</v>
      </c>
      <c r="K65" s="79">
        <v>1</v>
      </c>
    </row>
    <row r="66" spans="1:11" ht="15.75">
      <c r="A66" s="3">
        <v>7.3</v>
      </c>
      <c r="B66" s="71" t="s">
        <v>77</v>
      </c>
      <c r="C66" s="7" t="str">
        <f>"0912-7LEK-C"&amp;A66&amp;"-"&amp;UPPER(LEFT(B66,1))</f>
        <v>0912-7LEK-C7,3-Z</v>
      </c>
      <c r="D66" s="78" t="s">
        <v>139</v>
      </c>
      <c r="E66" s="79">
        <v>15</v>
      </c>
      <c r="F66" s="79">
        <v>15</v>
      </c>
      <c r="G66" s="79">
        <v>0</v>
      </c>
      <c r="H66" s="79">
        <v>0</v>
      </c>
      <c r="I66" s="79">
        <v>0</v>
      </c>
      <c r="J66" s="79">
        <v>25</v>
      </c>
      <c r="K66" s="79">
        <v>1</v>
      </c>
    </row>
    <row r="67" spans="1:11" ht="15.75">
      <c r="A67" s="3">
        <v>7.4</v>
      </c>
      <c r="B67" s="71" t="s">
        <v>78</v>
      </c>
      <c r="C67" s="7" t="str">
        <f>"0912-7LEK-C"&amp;A67&amp;"-"&amp;UPPER(LEFT(B67,1))</f>
        <v>0912-7LEK-C7,4-P</v>
      </c>
      <c r="D67" s="78" t="s">
        <v>125</v>
      </c>
      <c r="E67" s="79">
        <v>15</v>
      </c>
      <c r="F67" s="79">
        <v>15</v>
      </c>
      <c r="G67" s="79">
        <v>0</v>
      </c>
      <c r="H67" s="79">
        <v>0</v>
      </c>
      <c r="I67" s="79">
        <v>0</v>
      </c>
      <c r="J67" s="79">
        <v>25</v>
      </c>
      <c r="K67" s="79">
        <v>1</v>
      </c>
    </row>
    <row r="68" spans="1:11" ht="15.75">
      <c r="A68" s="3">
        <v>7.5</v>
      </c>
      <c r="B68" s="71" t="s">
        <v>79</v>
      </c>
      <c r="C68" s="7" t="str">
        <f>"0912-7LEK-C"&amp;A68&amp;"-"&amp;UPPER(LEFT(B68,1))</f>
        <v>0912-7LEK-C7,5-M</v>
      </c>
      <c r="D68" s="78">
        <v>10</v>
      </c>
      <c r="E68" s="79">
        <v>45</v>
      </c>
      <c r="F68" s="79">
        <v>10</v>
      </c>
      <c r="G68" s="79">
        <v>15</v>
      </c>
      <c r="H68" s="79">
        <v>20</v>
      </c>
      <c r="I68" s="79">
        <v>0</v>
      </c>
      <c r="J68" s="79">
        <v>55</v>
      </c>
      <c r="K68" s="79">
        <v>2</v>
      </c>
    </row>
    <row r="69" spans="1:11">
      <c r="A69" s="753" t="s">
        <v>9</v>
      </c>
      <c r="B69" s="754"/>
      <c r="C69" s="754"/>
      <c r="D69" s="755"/>
      <c r="E69" s="90">
        <f>SUM(E64:E68)</f>
        <v>105</v>
      </c>
      <c r="F69" s="90">
        <f t="shared" ref="F69:K69" si="8">SUM(F64:F68)</f>
        <v>70</v>
      </c>
      <c r="G69" s="90">
        <f t="shared" si="8"/>
        <v>15</v>
      </c>
      <c r="H69" s="90">
        <f t="shared" si="8"/>
        <v>20</v>
      </c>
      <c r="I69" s="90">
        <f t="shared" si="8"/>
        <v>0</v>
      </c>
      <c r="J69" s="90">
        <f t="shared" si="8"/>
        <v>155</v>
      </c>
      <c r="K69" s="90">
        <f t="shared" si="8"/>
        <v>6</v>
      </c>
    </row>
    <row r="70" spans="1:11">
      <c r="A70" s="746" t="s">
        <v>28</v>
      </c>
      <c r="B70" s="747"/>
      <c r="C70" s="747"/>
      <c r="D70" s="747"/>
      <c r="E70" s="747"/>
      <c r="F70" s="747"/>
      <c r="G70" s="747"/>
      <c r="H70" s="747"/>
      <c r="I70" s="747"/>
      <c r="J70" s="747"/>
      <c r="K70" s="748"/>
    </row>
    <row r="71" spans="1:11" ht="15.75">
      <c r="A71" s="63">
        <v>8.1</v>
      </c>
      <c r="B71" s="94" t="s">
        <v>80</v>
      </c>
      <c r="C71" s="64" t="str">
        <f>"0912-7LEK-C"&amp;A71&amp;"-"&amp;UPPER(LEFT(B71,1))</f>
        <v>0912-7LEK-C8,1-C</v>
      </c>
      <c r="D71" s="92" t="s">
        <v>129</v>
      </c>
      <c r="E71" s="93">
        <v>240</v>
      </c>
      <c r="F71" s="93">
        <v>0</v>
      </c>
      <c r="G71" s="93">
        <v>0</v>
      </c>
      <c r="H71" s="93">
        <v>240</v>
      </c>
      <c r="I71" s="93">
        <v>0</v>
      </c>
      <c r="J71" s="93">
        <v>400</v>
      </c>
      <c r="K71" s="93">
        <v>16</v>
      </c>
    </row>
    <row r="72" spans="1:11" ht="15.75">
      <c r="A72" s="3">
        <v>8.1999999999999993</v>
      </c>
      <c r="B72" s="71" t="s">
        <v>51</v>
      </c>
      <c r="C72" s="7" t="str">
        <f t="shared" ref="C72:C78" si="9">"0912-7LEK-C"&amp;A72&amp;"-"&amp;UPPER(LEFT(B72,1))</f>
        <v>0912-7LEK-C8,2-P</v>
      </c>
      <c r="D72" s="78" t="s">
        <v>129</v>
      </c>
      <c r="E72" s="79">
        <v>120</v>
      </c>
      <c r="F72" s="79">
        <v>0</v>
      </c>
      <c r="G72" s="79">
        <v>0</v>
      </c>
      <c r="H72" s="79">
        <v>120</v>
      </c>
      <c r="I72" s="79">
        <v>0</v>
      </c>
      <c r="J72" s="79">
        <v>200</v>
      </c>
      <c r="K72" s="79">
        <v>8</v>
      </c>
    </row>
    <row r="73" spans="1:11" ht="15.75">
      <c r="A73" s="3">
        <v>8.3000000000000007</v>
      </c>
      <c r="B73" s="71" t="s">
        <v>81</v>
      </c>
      <c r="C73" s="7" t="str">
        <f t="shared" si="9"/>
        <v>0912-7LEK-C8,3-C</v>
      </c>
      <c r="D73" s="78" t="s">
        <v>241</v>
      </c>
      <c r="E73" s="79">
        <v>120</v>
      </c>
      <c r="F73" s="79">
        <v>0</v>
      </c>
      <c r="G73" s="79">
        <v>0</v>
      </c>
      <c r="H73" s="79">
        <v>120</v>
      </c>
      <c r="I73" s="79">
        <v>0</v>
      </c>
      <c r="J73" s="79">
        <v>200</v>
      </c>
      <c r="K73" s="79">
        <v>8</v>
      </c>
    </row>
    <row r="74" spans="1:11" ht="15.75">
      <c r="A74" s="3">
        <v>8.4</v>
      </c>
      <c r="B74" s="71" t="s">
        <v>70</v>
      </c>
      <c r="C74" s="7" t="str">
        <f t="shared" si="9"/>
        <v>0912-7LEK-C8,4-G</v>
      </c>
      <c r="D74" s="78" t="s">
        <v>130</v>
      </c>
      <c r="E74" s="79">
        <v>60</v>
      </c>
      <c r="F74" s="79">
        <v>0</v>
      </c>
      <c r="G74" s="79">
        <v>0</v>
      </c>
      <c r="H74" s="79">
        <v>60</v>
      </c>
      <c r="I74" s="79">
        <v>0</v>
      </c>
      <c r="J74" s="79">
        <v>100</v>
      </c>
      <c r="K74" s="79">
        <v>4</v>
      </c>
    </row>
    <row r="75" spans="1:11" ht="15.75">
      <c r="A75" s="3">
        <v>8.5</v>
      </c>
      <c r="B75" s="71" t="s">
        <v>54</v>
      </c>
      <c r="C75" s="7" t="str">
        <f t="shared" si="9"/>
        <v>0912-7LEK-C8,5-P</v>
      </c>
      <c r="D75" s="78" t="s">
        <v>130</v>
      </c>
      <c r="E75" s="79">
        <v>60</v>
      </c>
      <c r="F75" s="79">
        <v>0</v>
      </c>
      <c r="G75" s="79">
        <v>0</v>
      </c>
      <c r="H75" s="79">
        <v>60</v>
      </c>
      <c r="I75" s="79">
        <v>0</v>
      </c>
      <c r="J75" s="79">
        <v>100</v>
      </c>
      <c r="K75" s="79">
        <v>4</v>
      </c>
    </row>
    <row r="76" spans="1:11" ht="15.75">
      <c r="A76" s="3">
        <v>8.6</v>
      </c>
      <c r="B76" s="71" t="s">
        <v>82</v>
      </c>
      <c r="C76" s="7" t="str">
        <f>"0912-7LEK-C"&amp;A76&amp;"-"&amp;UPPER(LEFT(B76,1))&amp;"R"</f>
        <v>0912-7LEK-C8,6-MR</v>
      </c>
      <c r="D76" s="78" t="s">
        <v>130</v>
      </c>
      <c r="E76" s="79">
        <v>60</v>
      </c>
      <c r="F76" s="79">
        <v>0</v>
      </c>
      <c r="G76" s="79">
        <v>0</v>
      </c>
      <c r="H76" s="79">
        <v>60</v>
      </c>
      <c r="I76" s="79">
        <v>0</v>
      </c>
      <c r="J76" s="79">
        <v>100</v>
      </c>
      <c r="K76" s="79">
        <v>4</v>
      </c>
    </row>
    <row r="77" spans="1:11" ht="15.75">
      <c r="A77" s="3">
        <v>8.6999999999999993</v>
      </c>
      <c r="B77" s="71" t="s">
        <v>56</v>
      </c>
      <c r="C77" s="7" t="str">
        <f t="shared" si="9"/>
        <v>0912-7LEK-C8,7-M</v>
      </c>
      <c r="D77" s="78" t="s">
        <v>130</v>
      </c>
      <c r="E77" s="79">
        <v>60</v>
      </c>
      <c r="F77" s="79">
        <v>0</v>
      </c>
      <c r="G77" s="79">
        <v>0</v>
      </c>
      <c r="H77" s="79">
        <v>60</v>
      </c>
      <c r="I77" s="79">
        <v>0</v>
      </c>
      <c r="J77" s="79">
        <v>100</v>
      </c>
      <c r="K77" s="79">
        <v>4</v>
      </c>
    </row>
    <row r="78" spans="1:11" ht="15.75">
      <c r="A78" s="3">
        <v>8.8000000000000007</v>
      </c>
      <c r="B78" s="71" t="s">
        <v>33</v>
      </c>
      <c r="C78" s="7" t="str">
        <f t="shared" si="9"/>
        <v>0912-7LEK-C8,8-S</v>
      </c>
      <c r="D78" s="78" t="s">
        <v>130</v>
      </c>
      <c r="E78" s="79">
        <v>180</v>
      </c>
      <c r="F78" s="79">
        <v>0</v>
      </c>
      <c r="G78" s="79">
        <v>0</v>
      </c>
      <c r="H78" s="79">
        <v>180</v>
      </c>
      <c r="I78" s="79">
        <v>0</v>
      </c>
      <c r="J78" s="79">
        <v>300</v>
      </c>
      <c r="K78" s="79">
        <v>12</v>
      </c>
    </row>
    <row r="79" spans="1:11">
      <c r="A79" s="753" t="s">
        <v>9</v>
      </c>
      <c r="B79" s="754"/>
      <c r="C79" s="754"/>
      <c r="D79" s="755"/>
      <c r="E79" s="90">
        <f>SUM(E71:E78)</f>
        <v>900</v>
      </c>
      <c r="F79" s="90">
        <f t="shared" ref="F79:K79" si="10">SUM(F71:F78)</f>
        <v>0</v>
      </c>
      <c r="G79" s="90">
        <f t="shared" si="10"/>
        <v>0</v>
      </c>
      <c r="H79" s="90">
        <f t="shared" si="10"/>
        <v>900</v>
      </c>
      <c r="I79" s="90">
        <f t="shared" si="10"/>
        <v>0</v>
      </c>
      <c r="J79" s="90">
        <f t="shared" si="10"/>
        <v>1500</v>
      </c>
      <c r="K79" s="90">
        <f t="shared" si="10"/>
        <v>60</v>
      </c>
    </row>
    <row r="80" spans="1:11">
      <c r="A80" s="746" t="s">
        <v>29</v>
      </c>
      <c r="B80" s="747"/>
      <c r="C80" s="747"/>
      <c r="D80" s="747"/>
      <c r="E80" s="747"/>
      <c r="F80" s="747"/>
      <c r="G80" s="747"/>
      <c r="H80" s="747"/>
      <c r="I80" s="747"/>
      <c r="J80" s="747"/>
      <c r="K80" s="748"/>
    </row>
    <row r="81" spans="1:11" ht="15.75">
      <c r="A81" s="63">
        <v>9.1</v>
      </c>
      <c r="B81" s="94" t="s">
        <v>83</v>
      </c>
      <c r="C81" s="64" t="str">
        <f t="shared" ref="C81:C88" si="11">"0912-7LEK-C"&amp;A81&amp;"-"&amp;UPPER(LEFT(B81,1))</f>
        <v>0912-7LEK-C9,1-O</v>
      </c>
      <c r="D81" s="92" t="s">
        <v>233</v>
      </c>
      <c r="E81" s="93">
        <v>120</v>
      </c>
      <c r="F81" s="93">
        <v>0</v>
      </c>
      <c r="G81" s="93">
        <v>0</v>
      </c>
      <c r="H81" s="99">
        <v>120</v>
      </c>
      <c r="I81" s="93">
        <v>0</v>
      </c>
      <c r="J81" s="93">
        <v>120</v>
      </c>
      <c r="K81" s="93">
        <v>4</v>
      </c>
    </row>
    <row r="82" spans="1:11" ht="15.75">
      <c r="A82" s="3">
        <v>9.1999999999999993</v>
      </c>
      <c r="B82" s="71" t="s">
        <v>84</v>
      </c>
      <c r="C82" s="7" t="str">
        <f t="shared" si="11"/>
        <v>0912-7LEK-C9,2-L</v>
      </c>
      <c r="D82" s="78" t="s">
        <v>139</v>
      </c>
      <c r="E82" s="79">
        <v>90</v>
      </c>
      <c r="F82" s="79">
        <v>0</v>
      </c>
      <c r="G82" s="79">
        <v>0</v>
      </c>
      <c r="H82" s="85">
        <v>90</v>
      </c>
      <c r="I82" s="79">
        <v>0</v>
      </c>
      <c r="J82" s="79">
        <v>90</v>
      </c>
      <c r="K82" s="79">
        <v>3</v>
      </c>
    </row>
    <row r="83" spans="1:11" ht="15.75">
      <c r="A83" s="3">
        <v>9.3000000000000007</v>
      </c>
      <c r="B83" s="71" t="s">
        <v>85</v>
      </c>
      <c r="C83" s="7" t="str">
        <f t="shared" si="11"/>
        <v>0912-7LEK-C9,3-P</v>
      </c>
      <c r="D83" s="78" t="s">
        <v>139</v>
      </c>
      <c r="E83" s="79">
        <v>30</v>
      </c>
      <c r="F83" s="79">
        <v>0</v>
      </c>
      <c r="G83" s="79">
        <v>0</v>
      </c>
      <c r="H83" s="85">
        <v>30</v>
      </c>
      <c r="I83" s="79">
        <v>0</v>
      </c>
      <c r="J83" s="79">
        <v>30</v>
      </c>
      <c r="K83" s="79">
        <v>1</v>
      </c>
    </row>
    <row r="84" spans="1:11" ht="15.75">
      <c r="A84" s="3">
        <v>9.4</v>
      </c>
      <c r="B84" s="71" t="s">
        <v>80</v>
      </c>
      <c r="C84" s="7" t="str">
        <f t="shared" si="11"/>
        <v>0912-7LEK-C9,4-C</v>
      </c>
      <c r="D84" s="78" t="s">
        <v>142</v>
      </c>
      <c r="E84" s="79">
        <v>120</v>
      </c>
      <c r="F84" s="79">
        <v>0</v>
      </c>
      <c r="G84" s="79">
        <v>0</v>
      </c>
      <c r="H84" s="85">
        <v>120</v>
      </c>
      <c r="I84" s="79">
        <v>0</v>
      </c>
      <c r="J84" s="79">
        <v>120</v>
      </c>
      <c r="K84" s="79">
        <v>4</v>
      </c>
    </row>
    <row r="85" spans="1:11" ht="15.75">
      <c r="A85" s="3">
        <v>9.5</v>
      </c>
      <c r="B85" s="71" t="s">
        <v>86</v>
      </c>
      <c r="C85" s="7" t="str">
        <f t="shared" si="11"/>
        <v>0912-7LEK-C9,5-I</v>
      </c>
      <c r="D85" s="78" t="s">
        <v>140</v>
      </c>
      <c r="E85" s="79">
        <v>60</v>
      </c>
      <c r="F85" s="79">
        <v>0</v>
      </c>
      <c r="G85" s="79">
        <v>0</v>
      </c>
      <c r="H85" s="85">
        <v>60</v>
      </c>
      <c r="I85" s="79">
        <v>0</v>
      </c>
      <c r="J85" s="79">
        <v>60</v>
      </c>
      <c r="K85" s="79">
        <v>2</v>
      </c>
    </row>
    <row r="86" spans="1:11" ht="15.75">
      <c r="A86" s="3">
        <v>9.6</v>
      </c>
      <c r="B86" s="71" t="s">
        <v>51</v>
      </c>
      <c r="C86" s="7" t="str">
        <f t="shared" si="11"/>
        <v>0912-7LEK-C9,6-P</v>
      </c>
      <c r="D86" s="78" t="s">
        <v>140</v>
      </c>
      <c r="E86" s="79">
        <v>60</v>
      </c>
      <c r="F86" s="79">
        <v>0</v>
      </c>
      <c r="G86" s="79">
        <v>0</v>
      </c>
      <c r="H86" s="85">
        <v>60</v>
      </c>
      <c r="I86" s="79">
        <v>0</v>
      </c>
      <c r="J86" s="79">
        <v>60</v>
      </c>
      <c r="K86" s="79">
        <v>2</v>
      </c>
    </row>
    <row r="87" spans="1:11" ht="15.75">
      <c r="A87" s="3">
        <v>9.6999999999999993</v>
      </c>
      <c r="B87" s="71" t="s">
        <v>81</v>
      </c>
      <c r="C87" s="7" t="str">
        <f t="shared" si="11"/>
        <v>0912-7LEK-C9,7-C</v>
      </c>
      <c r="D87" s="78" t="s">
        <v>128</v>
      </c>
      <c r="E87" s="79">
        <v>60</v>
      </c>
      <c r="F87" s="79">
        <v>0</v>
      </c>
      <c r="G87" s="79">
        <v>0</v>
      </c>
      <c r="H87" s="85">
        <v>60</v>
      </c>
      <c r="I87" s="79">
        <v>0</v>
      </c>
      <c r="J87" s="79">
        <v>60</v>
      </c>
      <c r="K87" s="79">
        <v>2</v>
      </c>
    </row>
    <row r="88" spans="1:11" ht="15.75">
      <c r="A88" s="3">
        <v>9.8000000000000007</v>
      </c>
      <c r="B88" s="71" t="s">
        <v>70</v>
      </c>
      <c r="C88" s="7" t="str">
        <f t="shared" si="11"/>
        <v>0912-7LEK-C9,8-G</v>
      </c>
      <c r="D88" s="78" t="s">
        <v>128</v>
      </c>
      <c r="E88" s="79">
        <v>60</v>
      </c>
      <c r="F88" s="79">
        <v>0</v>
      </c>
      <c r="G88" s="79">
        <v>0</v>
      </c>
      <c r="H88" s="85">
        <v>60</v>
      </c>
      <c r="I88" s="79">
        <v>0</v>
      </c>
      <c r="J88" s="79">
        <v>60</v>
      </c>
      <c r="K88" s="79">
        <v>2</v>
      </c>
    </row>
    <row r="89" spans="1:11">
      <c r="A89" s="759" t="s">
        <v>9</v>
      </c>
      <c r="B89" s="759"/>
      <c r="C89" s="130"/>
      <c r="D89" s="80"/>
      <c r="E89" s="83">
        <f t="shared" ref="E89:K89" si="12">SUM(E81:E88)</f>
        <v>600</v>
      </c>
      <c r="F89" s="83">
        <f t="shared" si="12"/>
        <v>0</v>
      </c>
      <c r="G89" s="83">
        <f t="shared" si="12"/>
        <v>0</v>
      </c>
      <c r="H89" s="83">
        <f t="shared" si="12"/>
        <v>600</v>
      </c>
      <c r="I89" s="83">
        <f t="shared" si="12"/>
        <v>0</v>
      </c>
      <c r="J89" s="83">
        <f t="shared" si="12"/>
        <v>600</v>
      </c>
      <c r="K89" s="83">
        <f t="shared" si="12"/>
        <v>20</v>
      </c>
    </row>
    <row r="90" spans="1:11">
      <c r="A90" s="746" t="s">
        <v>31</v>
      </c>
      <c r="B90" s="747"/>
      <c r="C90" s="747"/>
      <c r="D90" s="747"/>
      <c r="E90" s="747"/>
      <c r="F90" s="747"/>
      <c r="G90" s="747"/>
      <c r="H90" s="747"/>
      <c r="I90" s="747"/>
      <c r="J90" s="747"/>
      <c r="K90" s="748"/>
    </row>
    <row r="91" spans="1:11" ht="15.75">
      <c r="A91" s="3">
        <v>10.1</v>
      </c>
      <c r="B91" s="71" t="s">
        <v>17</v>
      </c>
      <c r="C91" s="7" t="str">
        <f>"0912-7LEK-A"&amp;A91&amp;"-"&amp;UPPER(LEFT(B91,1))&amp;"A"</f>
        <v>0912-7LEK-A10,1-JA</v>
      </c>
      <c r="D91" s="78" t="s">
        <v>230</v>
      </c>
      <c r="E91" s="79">
        <v>120</v>
      </c>
      <c r="F91" s="79">
        <v>0</v>
      </c>
      <c r="G91" s="79">
        <v>120</v>
      </c>
      <c r="H91" s="79">
        <v>0</v>
      </c>
      <c r="I91" s="79">
        <v>0</v>
      </c>
      <c r="J91" s="79">
        <v>180</v>
      </c>
      <c r="K91" s="79">
        <v>6</v>
      </c>
    </row>
    <row r="92" spans="1:11" ht="15.75">
      <c r="A92" s="3">
        <v>10.199999999999999</v>
      </c>
      <c r="B92" s="71" t="s">
        <v>198</v>
      </c>
      <c r="C92" s="7" t="str">
        <f>"0912-7LEK-A"&amp;A92&amp;"-"&amp;UPPER(LEFT(B92,1))&amp;"O"</f>
        <v>0912-7LEK-A10,2-JO</v>
      </c>
      <c r="D92" s="78" t="s">
        <v>231</v>
      </c>
      <c r="E92" s="79">
        <v>50</v>
      </c>
      <c r="F92" s="79">
        <v>0</v>
      </c>
      <c r="G92" s="79">
        <v>50</v>
      </c>
      <c r="H92" s="79">
        <v>0</v>
      </c>
      <c r="I92" s="79">
        <v>0</v>
      </c>
      <c r="J92" s="79">
        <v>60</v>
      </c>
      <c r="K92" s="79">
        <v>2</v>
      </c>
    </row>
    <row r="93" spans="1:11" ht="15.75">
      <c r="A93" s="3">
        <v>10.3</v>
      </c>
      <c r="B93" s="71" t="s">
        <v>19</v>
      </c>
      <c r="C93" s="7" t="str">
        <f>"0912-7LEK-A"&amp;A93&amp;"-"&amp;UPPER(LEFT(B93,1))&amp;"Ł"</f>
        <v>0912-7LEK-A10,3-JŁ</v>
      </c>
      <c r="D93" s="78" t="s">
        <v>232</v>
      </c>
      <c r="E93" s="79">
        <v>30</v>
      </c>
      <c r="F93" s="79">
        <v>0</v>
      </c>
      <c r="G93" s="79">
        <v>30</v>
      </c>
      <c r="H93" s="79">
        <v>0</v>
      </c>
      <c r="I93" s="79">
        <v>0</v>
      </c>
      <c r="J93" s="79">
        <v>30</v>
      </c>
      <c r="K93" s="79">
        <v>1</v>
      </c>
    </row>
    <row r="94" spans="1:11" ht="18.75" customHeight="1">
      <c r="A94" s="3">
        <v>10.4</v>
      </c>
      <c r="B94" s="71" t="s">
        <v>87</v>
      </c>
      <c r="C94" s="7" t="str">
        <f>"0912-7LEK-A"&amp;A94&amp;"-"&amp;UPPER(LEFT(B94,1))&amp;"B"</f>
        <v>0912-7LEK-A10,4-PB</v>
      </c>
      <c r="D94" s="78" t="s">
        <v>232</v>
      </c>
      <c r="E94" s="79">
        <v>2</v>
      </c>
      <c r="F94" s="79">
        <v>0</v>
      </c>
      <c r="G94" s="79">
        <v>2</v>
      </c>
      <c r="H94" s="79">
        <v>0</v>
      </c>
      <c r="I94" s="79">
        <v>0</v>
      </c>
      <c r="J94" s="79">
        <v>2</v>
      </c>
      <c r="K94" s="79">
        <v>0</v>
      </c>
    </row>
    <row r="95" spans="1:11" ht="15.75" customHeight="1">
      <c r="A95" s="3">
        <v>10.5</v>
      </c>
      <c r="B95" s="71" t="s">
        <v>30</v>
      </c>
      <c r="C95" s="7" t="str">
        <f>"0912-7LEK-A"&amp;A95&amp;"-"&amp;UPPER(LEFT(B95,1))&amp;"HP"</f>
        <v>0912-7LEK-A10,5-BHP</v>
      </c>
      <c r="D95" s="78" t="s">
        <v>233</v>
      </c>
      <c r="E95" s="79">
        <v>5</v>
      </c>
      <c r="F95" s="79">
        <v>5</v>
      </c>
      <c r="G95" s="79">
        <v>0</v>
      </c>
      <c r="H95" s="79">
        <v>0</v>
      </c>
      <c r="I95" s="79">
        <v>0</v>
      </c>
      <c r="J95" s="79">
        <v>5</v>
      </c>
      <c r="K95" s="79">
        <v>0</v>
      </c>
    </row>
    <row r="96" spans="1:11" ht="18.75" customHeight="1">
      <c r="A96" s="3">
        <v>10.6</v>
      </c>
      <c r="B96" s="71" t="s">
        <v>108</v>
      </c>
      <c r="C96" s="7" t="str">
        <f>"0912-7LEK-A"&amp;A96&amp;"-"&amp;UPPER(LEFT(B96,1))&amp;"F"</f>
        <v>0912-7LEK-A10,6-WF</v>
      </c>
      <c r="D96" s="78" t="s">
        <v>120</v>
      </c>
      <c r="E96" s="79">
        <v>180</v>
      </c>
      <c r="F96" s="79">
        <v>0</v>
      </c>
      <c r="G96" s="79">
        <v>180</v>
      </c>
      <c r="H96" s="79">
        <v>0</v>
      </c>
      <c r="I96" s="79">
        <v>0</v>
      </c>
      <c r="J96" s="79">
        <v>180</v>
      </c>
      <c r="K96" s="79">
        <v>0</v>
      </c>
    </row>
    <row r="97" spans="1:11">
      <c r="A97" s="766">
        <v>10.7</v>
      </c>
      <c r="B97" s="760" t="s">
        <v>119</v>
      </c>
      <c r="C97" s="761"/>
      <c r="D97" s="78" t="s">
        <v>234</v>
      </c>
      <c r="E97" s="79">
        <v>30</v>
      </c>
      <c r="F97" s="79">
        <v>0</v>
      </c>
      <c r="G97" s="79">
        <v>30</v>
      </c>
      <c r="H97" s="79">
        <v>0</v>
      </c>
      <c r="I97" s="79">
        <v>0</v>
      </c>
      <c r="J97" s="79">
        <v>60</v>
      </c>
      <c r="K97" s="79">
        <v>2</v>
      </c>
    </row>
    <row r="98" spans="1:11">
      <c r="A98" s="767"/>
      <c r="B98" s="762"/>
      <c r="C98" s="763"/>
      <c r="D98" s="78" t="s">
        <v>139</v>
      </c>
      <c r="E98" s="79">
        <v>30</v>
      </c>
      <c r="F98" s="79">
        <v>0</v>
      </c>
      <c r="G98" s="79">
        <v>30</v>
      </c>
      <c r="H98" s="79">
        <v>0</v>
      </c>
      <c r="I98" s="79">
        <v>0</v>
      </c>
      <c r="J98" s="79">
        <v>60</v>
      </c>
      <c r="K98" s="79">
        <v>2</v>
      </c>
    </row>
    <row r="99" spans="1:11">
      <c r="A99" s="759" t="s">
        <v>9</v>
      </c>
      <c r="B99" s="759"/>
      <c r="C99" s="130"/>
      <c r="D99" s="80"/>
      <c r="E99" s="83">
        <f t="shared" ref="E99:J99" si="13">SUM(E91:E96)</f>
        <v>387</v>
      </c>
      <c r="F99" s="83">
        <f t="shared" si="13"/>
        <v>5</v>
      </c>
      <c r="G99" s="83">
        <f t="shared" si="13"/>
        <v>382</v>
      </c>
      <c r="H99" s="83">
        <f t="shared" si="13"/>
        <v>0</v>
      </c>
      <c r="I99" s="83">
        <f t="shared" si="13"/>
        <v>0</v>
      </c>
      <c r="J99" s="83">
        <f t="shared" si="13"/>
        <v>457</v>
      </c>
      <c r="K99" s="83">
        <f>SUM(K91:K98)</f>
        <v>13</v>
      </c>
    </row>
    <row r="100" spans="1:11">
      <c r="A100" s="746" t="s">
        <v>229</v>
      </c>
      <c r="B100" s="747"/>
      <c r="C100" s="747"/>
      <c r="D100" s="747"/>
      <c r="E100" s="747"/>
      <c r="F100" s="747"/>
      <c r="G100" s="747"/>
      <c r="H100" s="747"/>
      <c r="I100" s="747"/>
      <c r="J100" s="747"/>
      <c r="K100" s="748"/>
    </row>
    <row r="101" spans="1:11" ht="15.75">
      <c r="A101" s="120">
        <v>1</v>
      </c>
      <c r="B101" s="77" t="s">
        <v>115</v>
      </c>
      <c r="C101" s="7"/>
      <c r="D101" s="78" t="s">
        <v>232</v>
      </c>
      <c r="E101" s="79">
        <v>15</v>
      </c>
      <c r="F101" s="79">
        <v>15</v>
      </c>
      <c r="G101" s="79">
        <v>0</v>
      </c>
      <c r="H101" s="79">
        <v>0</v>
      </c>
      <c r="I101" s="79">
        <v>0</v>
      </c>
      <c r="J101" s="79">
        <v>25</v>
      </c>
      <c r="K101" s="79">
        <v>1</v>
      </c>
    </row>
    <row r="102" spans="1:11" ht="15.75">
      <c r="A102" s="120">
        <v>2</v>
      </c>
      <c r="B102" s="77" t="s">
        <v>115</v>
      </c>
      <c r="C102" s="7"/>
      <c r="D102" s="78" t="s">
        <v>232</v>
      </c>
      <c r="E102" s="79">
        <v>15</v>
      </c>
      <c r="F102" s="79">
        <v>15</v>
      </c>
      <c r="G102" s="79">
        <v>0</v>
      </c>
      <c r="H102" s="79">
        <v>0</v>
      </c>
      <c r="I102" s="79">
        <v>0</v>
      </c>
      <c r="J102" s="79">
        <v>25</v>
      </c>
      <c r="K102" s="79">
        <v>1</v>
      </c>
    </row>
    <row r="103" spans="1:11" ht="15.75">
      <c r="A103" s="120">
        <v>3</v>
      </c>
      <c r="B103" s="77" t="s">
        <v>115</v>
      </c>
      <c r="C103" s="7"/>
      <c r="D103" s="78" t="s">
        <v>233</v>
      </c>
      <c r="E103" s="79">
        <v>15</v>
      </c>
      <c r="F103" s="79">
        <v>15</v>
      </c>
      <c r="G103" s="79">
        <v>0</v>
      </c>
      <c r="H103" s="79">
        <v>0</v>
      </c>
      <c r="I103" s="79">
        <v>0</v>
      </c>
      <c r="J103" s="79">
        <v>25</v>
      </c>
      <c r="K103" s="79">
        <v>1</v>
      </c>
    </row>
    <row r="104" spans="1:11" ht="15.75">
      <c r="A104" s="120">
        <v>4</v>
      </c>
      <c r="B104" s="77" t="s">
        <v>115</v>
      </c>
      <c r="C104" s="7"/>
      <c r="D104" s="78" t="s">
        <v>233</v>
      </c>
      <c r="E104" s="79">
        <v>15</v>
      </c>
      <c r="F104" s="79">
        <v>15</v>
      </c>
      <c r="G104" s="79">
        <v>0</v>
      </c>
      <c r="H104" s="79">
        <v>0</v>
      </c>
      <c r="I104" s="79">
        <v>0</v>
      </c>
      <c r="J104" s="79">
        <v>25</v>
      </c>
      <c r="K104" s="79">
        <v>1</v>
      </c>
    </row>
    <row r="105" spans="1:11" ht="15.75">
      <c r="A105" s="120">
        <v>5</v>
      </c>
      <c r="B105" s="77" t="s">
        <v>115</v>
      </c>
      <c r="C105" s="7"/>
      <c r="D105" s="78" t="s">
        <v>234</v>
      </c>
      <c r="E105" s="79">
        <v>15</v>
      </c>
      <c r="F105" s="79">
        <v>15</v>
      </c>
      <c r="G105" s="79">
        <v>0</v>
      </c>
      <c r="H105" s="79">
        <v>0</v>
      </c>
      <c r="I105" s="79">
        <v>0</v>
      </c>
      <c r="J105" s="79">
        <v>25</v>
      </c>
      <c r="K105" s="79">
        <v>1</v>
      </c>
    </row>
    <row r="106" spans="1:11" ht="15.75">
      <c r="A106" s="120">
        <v>6</v>
      </c>
      <c r="B106" s="77" t="s">
        <v>115</v>
      </c>
      <c r="C106" s="7"/>
      <c r="D106" s="78" t="s">
        <v>234</v>
      </c>
      <c r="E106" s="79">
        <v>15</v>
      </c>
      <c r="F106" s="79">
        <v>15</v>
      </c>
      <c r="G106" s="79">
        <v>0</v>
      </c>
      <c r="H106" s="79">
        <v>0</v>
      </c>
      <c r="I106" s="79">
        <v>0</v>
      </c>
      <c r="J106" s="79">
        <v>25</v>
      </c>
      <c r="K106" s="79">
        <v>1</v>
      </c>
    </row>
    <row r="107" spans="1:11" ht="15.75">
      <c r="A107" s="120">
        <v>7</v>
      </c>
      <c r="B107" s="77" t="s">
        <v>115</v>
      </c>
      <c r="C107" s="7"/>
      <c r="D107" s="78" t="s">
        <v>234</v>
      </c>
      <c r="E107" s="79">
        <v>15</v>
      </c>
      <c r="F107" s="79">
        <v>15</v>
      </c>
      <c r="G107" s="79">
        <v>0</v>
      </c>
      <c r="H107" s="79">
        <v>0</v>
      </c>
      <c r="I107" s="79">
        <v>0</v>
      </c>
      <c r="J107" s="79">
        <v>25</v>
      </c>
      <c r="K107" s="79">
        <v>1</v>
      </c>
    </row>
    <row r="108" spans="1:11" ht="15.75">
      <c r="A108" s="120">
        <v>8</v>
      </c>
      <c r="B108" s="77" t="s">
        <v>115</v>
      </c>
      <c r="C108" s="7"/>
      <c r="D108" s="78" t="s">
        <v>139</v>
      </c>
      <c r="E108" s="79">
        <v>15</v>
      </c>
      <c r="F108" s="79">
        <v>15</v>
      </c>
      <c r="G108" s="79">
        <v>0</v>
      </c>
      <c r="H108" s="79">
        <v>0</v>
      </c>
      <c r="I108" s="79">
        <v>0</v>
      </c>
      <c r="J108" s="79">
        <v>25</v>
      </c>
      <c r="K108" s="79">
        <v>1</v>
      </c>
    </row>
    <row r="109" spans="1:11" ht="15.75">
      <c r="A109" s="120">
        <v>9</v>
      </c>
      <c r="B109" s="77" t="s">
        <v>115</v>
      </c>
      <c r="C109" s="7"/>
      <c r="D109" s="78" t="s">
        <v>139</v>
      </c>
      <c r="E109" s="79">
        <v>15</v>
      </c>
      <c r="F109" s="79">
        <v>15</v>
      </c>
      <c r="G109" s="79">
        <v>0</v>
      </c>
      <c r="H109" s="79">
        <v>0</v>
      </c>
      <c r="I109" s="79">
        <v>0</v>
      </c>
      <c r="J109" s="79">
        <v>25</v>
      </c>
      <c r="K109" s="79">
        <v>1</v>
      </c>
    </row>
    <row r="110" spans="1:11" ht="15.75">
      <c r="A110" s="120">
        <v>10</v>
      </c>
      <c r="B110" s="77" t="s">
        <v>115</v>
      </c>
      <c r="C110" s="7"/>
      <c r="D110" s="78" t="s">
        <v>139</v>
      </c>
      <c r="E110" s="79">
        <v>15</v>
      </c>
      <c r="F110" s="79">
        <v>15</v>
      </c>
      <c r="G110" s="79">
        <v>0</v>
      </c>
      <c r="H110" s="79">
        <v>0</v>
      </c>
      <c r="I110" s="79">
        <v>0</v>
      </c>
      <c r="J110" s="79">
        <v>25</v>
      </c>
      <c r="K110" s="79">
        <v>1</v>
      </c>
    </row>
    <row r="111" spans="1:11" ht="15.75">
      <c r="A111" s="120">
        <v>11</v>
      </c>
      <c r="B111" s="77" t="s">
        <v>115</v>
      </c>
      <c r="C111" s="7"/>
      <c r="D111" s="78" t="s">
        <v>141</v>
      </c>
      <c r="E111" s="79">
        <v>15</v>
      </c>
      <c r="F111" s="79">
        <v>15</v>
      </c>
      <c r="G111" s="79">
        <v>0</v>
      </c>
      <c r="H111" s="79">
        <v>0</v>
      </c>
      <c r="I111" s="79">
        <v>0</v>
      </c>
      <c r="J111" s="79">
        <v>25</v>
      </c>
      <c r="K111" s="79">
        <v>1</v>
      </c>
    </row>
    <row r="112" spans="1:11" ht="15.75">
      <c r="A112" s="120">
        <v>12</v>
      </c>
      <c r="B112" s="77" t="s">
        <v>115</v>
      </c>
      <c r="C112" s="7"/>
      <c r="D112" s="78" t="s">
        <v>141</v>
      </c>
      <c r="E112" s="79">
        <v>15</v>
      </c>
      <c r="F112" s="79">
        <v>15</v>
      </c>
      <c r="G112" s="79">
        <v>0</v>
      </c>
      <c r="H112" s="79">
        <v>0</v>
      </c>
      <c r="I112" s="79">
        <v>0</v>
      </c>
      <c r="J112" s="79">
        <v>25</v>
      </c>
      <c r="K112" s="79">
        <v>1</v>
      </c>
    </row>
    <row r="113" spans="1:11" ht="15.75">
      <c r="A113" s="120">
        <v>13</v>
      </c>
      <c r="B113" s="77" t="s">
        <v>115</v>
      </c>
      <c r="C113" s="7"/>
      <c r="D113" s="78" t="s">
        <v>141</v>
      </c>
      <c r="E113" s="79">
        <v>15</v>
      </c>
      <c r="F113" s="79">
        <v>15</v>
      </c>
      <c r="G113" s="79">
        <v>0</v>
      </c>
      <c r="H113" s="79">
        <v>0</v>
      </c>
      <c r="I113" s="79">
        <v>0</v>
      </c>
      <c r="J113" s="79">
        <v>25</v>
      </c>
      <c r="K113" s="79">
        <v>1</v>
      </c>
    </row>
    <row r="114" spans="1:11" ht="15.75">
      <c r="A114" s="120">
        <v>14</v>
      </c>
      <c r="B114" s="77" t="s">
        <v>115</v>
      </c>
      <c r="C114" s="7"/>
      <c r="D114" s="78" t="s">
        <v>142</v>
      </c>
      <c r="E114" s="79">
        <v>15</v>
      </c>
      <c r="F114" s="79">
        <v>15</v>
      </c>
      <c r="G114" s="79">
        <v>0</v>
      </c>
      <c r="H114" s="79">
        <v>0</v>
      </c>
      <c r="I114" s="79">
        <v>0</v>
      </c>
      <c r="J114" s="79">
        <v>25</v>
      </c>
      <c r="K114" s="79">
        <v>1</v>
      </c>
    </row>
    <row r="115" spans="1:11" ht="15.75">
      <c r="A115" s="120">
        <v>15</v>
      </c>
      <c r="B115" s="77" t="s">
        <v>115</v>
      </c>
      <c r="C115" s="7"/>
      <c r="D115" s="78" t="s">
        <v>142</v>
      </c>
      <c r="E115" s="79">
        <v>15</v>
      </c>
      <c r="F115" s="79">
        <v>15</v>
      </c>
      <c r="G115" s="79">
        <v>0</v>
      </c>
      <c r="H115" s="79">
        <v>0</v>
      </c>
      <c r="I115" s="79">
        <v>0</v>
      </c>
      <c r="J115" s="79">
        <v>25</v>
      </c>
      <c r="K115" s="79">
        <v>1</v>
      </c>
    </row>
    <row r="116" spans="1:11" ht="15.75">
      <c r="A116" s="120">
        <v>16</v>
      </c>
      <c r="B116" s="77" t="s">
        <v>115</v>
      </c>
      <c r="C116" s="7"/>
      <c r="D116" s="78" t="s">
        <v>143</v>
      </c>
      <c r="E116" s="79">
        <v>15</v>
      </c>
      <c r="F116" s="79">
        <v>15</v>
      </c>
      <c r="G116" s="79">
        <v>0</v>
      </c>
      <c r="H116" s="79">
        <v>0</v>
      </c>
      <c r="I116" s="79">
        <v>0</v>
      </c>
      <c r="J116" s="79">
        <v>25</v>
      </c>
      <c r="K116" s="79">
        <v>1</v>
      </c>
    </row>
    <row r="117" spans="1:11" ht="15.75">
      <c r="A117" s="120">
        <v>17</v>
      </c>
      <c r="B117" s="77" t="s">
        <v>115</v>
      </c>
      <c r="C117" s="7"/>
      <c r="D117" s="78" t="s">
        <v>143</v>
      </c>
      <c r="E117" s="79">
        <v>15</v>
      </c>
      <c r="F117" s="79">
        <v>15</v>
      </c>
      <c r="G117" s="79">
        <v>0</v>
      </c>
      <c r="H117" s="79">
        <v>0</v>
      </c>
      <c r="I117" s="79">
        <v>0</v>
      </c>
      <c r="J117" s="79">
        <v>25</v>
      </c>
      <c r="K117" s="79">
        <v>1</v>
      </c>
    </row>
    <row r="118" spans="1:11" ht="15.75">
      <c r="A118" s="120">
        <v>18</v>
      </c>
      <c r="B118" s="77" t="s">
        <v>115</v>
      </c>
      <c r="C118" s="7"/>
      <c r="D118" s="78" t="s">
        <v>140</v>
      </c>
      <c r="E118" s="79">
        <v>15</v>
      </c>
      <c r="F118" s="79">
        <v>15</v>
      </c>
      <c r="G118" s="79">
        <v>0</v>
      </c>
      <c r="H118" s="79">
        <v>0</v>
      </c>
      <c r="I118" s="79">
        <v>0</v>
      </c>
      <c r="J118" s="79">
        <v>25</v>
      </c>
      <c r="K118" s="79">
        <v>1</v>
      </c>
    </row>
    <row r="119" spans="1:11" ht="15.75">
      <c r="A119" s="120">
        <v>19</v>
      </c>
      <c r="B119" s="77" t="s">
        <v>115</v>
      </c>
      <c r="C119" s="7"/>
      <c r="D119" s="78" t="s">
        <v>140</v>
      </c>
      <c r="E119" s="79">
        <v>15</v>
      </c>
      <c r="F119" s="79">
        <v>15</v>
      </c>
      <c r="G119" s="79">
        <v>0</v>
      </c>
      <c r="H119" s="79">
        <v>0</v>
      </c>
      <c r="I119" s="79">
        <v>0</v>
      </c>
      <c r="J119" s="79">
        <v>25</v>
      </c>
      <c r="K119" s="79">
        <v>1</v>
      </c>
    </row>
    <row r="120" spans="1:11" ht="15.75">
      <c r="A120" s="120">
        <v>20</v>
      </c>
      <c r="B120" s="77" t="s">
        <v>115</v>
      </c>
      <c r="C120" s="7"/>
      <c r="D120" s="78" t="s">
        <v>140</v>
      </c>
      <c r="E120" s="79">
        <v>15</v>
      </c>
      <c r="F120" s="79">
        <v>15</v>
      </c>
      <c r="G120" s="79">
        <v>0</v>
      </c>
      <c r="H120" s="79">
        <v>0</v>
      </c>
      <c r="I120" s="79">
        <v>0</v>
      </c>
      <c r="J120" s="79">
        <v>25</v>
      </c>
      <c r="K120" s="79">
        <v>1</v>
      </c>
    </row>
    <row r="121" spans="1:11" ht="15.75">
      <c r="A121" s="120">
        <v>21</v>
      </c>
      <c r="B121" s="77" t="s">
        <v>115</v>
      </c>
      <c r="C121" s="7"/>
      <c r="D121" s="78" t="s">
        <v>125</v>
      </c>
      <c r="E121" s="79">
        <v>35</v>
      </c>
      <c r="F121" s="79">
        <v>15</v>
      </c>
      <c r="G121" s="79">
        <v>20</v>
      </c>
      <c r="H121" s="79">
        <v>0</v>
      </c>
      <c r="I121" s="79">
        <v>0</v>
      </c>
      <c r="J121" s="79">
        <v>50</v>
      </c>
      <c r="K121" s="79">
        <v>2</v>
      </c>
    </row>
    <row r="122" spans="1:11" ht="15.75">
      <c r="A122" s="120">
        <v>22</v>
      </c>
      <c r="B122" s="77" t="s">
        <v>115</v>
      </c>
      <c r="C122" s="7"/>
      <c r="D122" s="78" t="s">
        <v>125</v>
      </c>
      <c r="E122" s="79">
        <v>35</v>
      </c>
      <c r="F122" s="79">
        <v>15</v>
      </c>
      <c r="G122" s="79">
        <v>20</v>
      </c>
      <c r="H122" s="79">
        <v>0</v>
      </c>
      <c r="I122" s="79">
        <v>0</v>
      </c>
      <c r="J122" s="79">
        <v>50</v>
      </c>
      <c r="K122" s="79">
        <v>2</v>
      </c>
    </row>
    <row r="123" spans="1:11" ht="15.75">
      <c r="A123" s="120">
        <v>23</v>
      </c>
      <c r="B123" s="77" t="s">
        <v>115</v>
      </c>
      <c r="C123" s="7"/>
      <c r="D123" s="78" t="s">
        <v>125</v>
      </c>
      <c r="E123" s="79">
        <v>35</v>
      </c>
      <c r="F123" s="79">
        <v>15</v>
      </c>
      <c r="G123" s="79">
        <v>20</v>
      </c>
      <c r="H123" s="79">
        <v>0</v>
      </c>
      <c r="I123" s="79">
        <v>0</v>
      </c>
      <c r="J123" s="79">
        <v>50</v>
      </c>
      <c r="K123" s="79">
        <v>2</v>
      </c>
    </row>
    <row r="124" spans="1:11" ht="15.75">
      <c r="A124" s="120">
        <v>24</v>
      </c>
      <c r="B124" s="77" t="s">
        <v>115</v>
      </c>
      <c r="C124" s="7"/>
      <c r="D124" s="78" t="s">
        <v>125</v>
      </c>
      <c r="E124" s="79">
        <v>35</v>
      </c>
      <c r="F124" s="79">
        <v>15</v>
      </c>
      <c r="G124" s="79">
        <v>20</v>
      </c>
      <c r="H124" s="79">
        <v>0</v>
      </c>
      <c r="I124" s="79">
        <v>0</v>
      </c>
      <c r="J124" s="79">
        <v>50</v>
      </c>
      <c r="K124" s="79">
        <v>2</v>
      </c>
    </row>
    <row r="125" spans="1:11" ht="15.75">
      <c r="A125" s="120">
        <v>25</v>
      </c>
      <c r="B125" s="77" t="s">
        <v>115</v>
      </c>
      <c r="C125" s="7"/>
      <c r="D125" s="78" t="s">
        <v>125</v>
      </c>
      <c r="E125" s="79">
        <v>15</v>
      </c>
      <c r="F125" s="79">
        <v>15</v>
      </c>
      <c r="G125" s="79">
        <v>0</v>
      </c>
      <c r="H125" s="79">
        <v>0</v>
      </c>
      <c r="I125" s="79">
        <v>0</v>
      </c>
      <c r="J125" s="79">
        <v>25</v>
      </c>
      <c r="K125" s="79">
        <v>1</v>
      </c>
    </row>
    <row r="126" spans="1:11" ht="48" customHeight="1">
      <c r="A126" s="120">
        <v>26</v>
      </c>
      <c r="B126" s="764" t="s">
        <v>257</v>
      </c>
      <c r="C126" s="765"/>
      <c r="D126" s="78" t="s">
        <v>244</v>
      </c>
      <c r="E126" s="79">
        <v>135</v>
      </c>
      <c r="F126" s="79">
        <v>0</v>
      </c>
      <c r="G126" s="79">
        <v>135</v>
      </c>
      <c r="H126" s="79">
        <v>0</v>
      </c>
      <c r="I126" s="79">
        <v>0</v>
      </c>
      <c r="J126" s="79">
        <v>225</v>
      </c>
      <c r="K126" s="79">
        <v>9</v>
      </c>
    </row>
    <row r="127" spans="1:11">
      <c r="A127" s="756" t="s">
        <v>9</v>
      </c>
      <c r="B127" s="757"/>
      <c r="C127" s="757"/>
      <c r="D127" s="758"/>
      <c r="E127" s="83">
        <f t="shared" ref="E127:K127" si="14">SUM(E101:E126)</f>
        <v>590</v>
      </c>
      <c r="F127" s="83">
        <f t="shared" si="14"/>
        <v>375</v>
      </c>
      <c r="G127" s="83">
        <f t="shared" si="14"/>
        <v>215</v>
      </c>
      <c r="H127" s="83">
        <f t="shared" si="14"/>
        <v>0</v>
      </c>
      <c r="I127" s="83">
        <f t="shared" si="14"/>
        <v>0</v>
      </c>
      <c r="J127" s="83">
        <f t="shared" si="14"/>
        <v>950</v>
      </c>
      <c r="K127" s="86">
        <f t="shared" si="14"/>
        <v>38</v>
      </c>
    </row>
    <row r="128" spans="1:11" ht="26.25" customHeight="1">
      <c r="A128" s="750" t="s">
        <v>228</v>
      </c>
      <c r="B128" s="751"/>
      <c r="C128" s="751"/>
      <c r="D128" s="752"/>
      <c r="E128" s="145">
        <f t="shared" ref="E128:J128" si="15">SUM(E8,E18,E26,E33,E47,E62,E69,E79,E89,E99,E127,)</f>
        <v>5982</v>
      </c>
      <c r="F128" s="145">
        <f t="shared" si="15"/>
        <v>1600</v>
      </c>
      <c r="G128" s="145">
        <f t="shared" si="15"/>
        <v>1817</v>
      </c>
      <c r="H128" s="145">
        <f t="shared" si="15"/>
        <v>2335</v>
      </c>
      <c r="I128" s="145">
        <f t="shared" si="15"/>
        <v>230</v>
      </c>
      <c r="J128" s="145">
        <f t="shared" si="15"/>
        <v>9297</v>
      </c>
      <c r="K128" s="145">
        <f>SUM(K127,K99,K89,K79,K69,K62,K47,K33,K26,K18,K8)</f>
        <v>364</v>
      </c>
    </row>
    <row r="136" spans="3:3">
      <c r="C136" s="142" t="s">
        <v>122</v>
      </c>
    </row>
    <row r="139" spans="3:3" ht="90">
      <c r="C139" s="259" t="s">
        <v>300</v>
      </c>
    </row>
  </sheetData>
  <mergeCells count="32">
    <mergeCell ref="U13:AY13"/>
    <mergeCell ref="U14:V14"/>
    <mergeCell ref="AB14:AJ14"/>
    <mergeCell ref="U15:V15"/>
    <mergeCell ref="A2:B2"/>
    <mergeCell ref="A3:B3"/>
    <mergeCell ref="A9:K9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8"/>
  <sheetViews>
    <sheetView view="pageBreakPreview" topLeftCell="A112" zoomScaleNormal="80" zoomScaleSheetLayoutView="100" workbookViewId="0">
      <selection activeCell="A104" sqref="A104:A130"/>
    </sheetView>
  </sheetViews>
  <sheetFormatPr defaultRowHeight="15"/>
  <cols>
    <col min="1" max="1" width="6" style="82" customWidth="1"/>
    <col min="2" max="2" width="38.85546875" style="82" customWidth="1"/>
    <col min="3" max="3" width="21.140625" style="244" customWidth="1"/>
    <col min="4" max="4" width="11.140625" style="88" customWidth="1"/>
    <col min="5" max="5" width="7.28515625" style="81" customWidth="1"/>
    <col min="6" max="6" width="8.85546875" style="81" customWidth="1"/>
    <col min="7" max="7" width="11.28515625" style="81" customWidth="1"/>
    <col min="8" max="8" width="8.42578125" style="81" customWidth="1"/>
    <col min="9" max="9" width="5.28515625" style="81" customWidth="1"/>
    <col min="10" max="10" width="9.140625" style="81" customWidth="1"/>
    <col min="11" max="11" width="6.85546875" style="81" customWidth="1"/>
    <col min="12" max="12" width="31.140625" style="82" customWidth="1"/>
    <col min="13" max="16384" width="9.140625" style="82"/>
  </cols>
  <sheetData>
    <row r="1" spans="1:51" ht="66.75" customHeight="1">
      <c r="A1" s="749" t="s">
        <v>376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</row>
    <row r="2" spans="1:51" ht="30.75" customHeight="1">
      <c r="A2" s="768" t="s">
        <v>505</v>
      </c>
      <c r="B2" s="768"/>
      <c r="C2" s="136" t="s">
        <v>252</v>
      </c>
      <c r="D2" s="137"/>
      <c r="E2" s="138"/>
      <c r="F2" s="138"/>
      <c r="G2" s="138"/>
      <c r="H2" s="139"/>
      <c r="I2" s="139"/>
      <c r="J2" s="139"/>
      <c r="K2" s="139"/>
      <c r="L2" s="135"/>
      <c r="M2" s="135"/>
      <c r="N2" s="135"/>
      <c r="O2" s="135"/>
      <c r="P2" s="135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51" ht="78" customHeight="1">
      <c r="A3" s="770" t="s">
        <v>339</v>
      </c>
      <c r="B3" s="770"/>
      <c r="C3" s="770"/>
      <c r="D3" s="770"/>
      <c r="E3" s="141"/>
      <c r="F3" s="141"/>
      <c r="G3" s="141"/>
      <c r="H3" s="141"/>
      <c r="I3" s="141"/>
      <c r="J3" s="141"/>
      <c r="K3" s="141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51" ht="63.75" customHeight="1">
      <c r="A4" s="458" t="s">
        <v>0</v>
      </c>
      <c r="B4" s="459" t="s">
        <v>4</v>
      </c>
      <c r="C4" s="460" t="s">
        <v>344</v>
      </c>
      <c r="D4" s="461" t="s">
        <v>345</v>
      </c>
      <c r="E4" s="460" t="s">
        <v>5</v>
      </c>
      <c r="F4" s="460" t="s">
        <v>89</v>
      </c>
      <c r="G4" s="460" t="s">
        <v>88</v>
      </c>
      <c r="H4" s="460" t="s">
        <v>94</v>
      </c>
      <c r="I4" s="460" t="s">
        <v>90</v>
      </c>
      <c r="J4" s="460" t="s">
        <v>14</v>
      </c>
      <c r="K4" s="460" t="s">
        <v>6</v>
      </c>
    </row>
    <row r="5" spans="1:51" ht="15" customHeight="1">
      <c r="A5" s="427" t="s">
        <v>379</v>
      </c>
      <c r="B5" s="428"/>
      <c r="C5" s="429"/>
      <c r="D5" s="430"/>
      <c r="E5" s="431"/>
      <c r="F5" s="431"/>
      <c r="G5" s="431"/>
      <c r="H5" s="431"/>
      <c r="I5" s="432"/>
      <c r="J5" s="432"/>
      <c r="K5" s="433"/>
      <c r="L5" s="74"/>
      <c r="M5" s="74"/>
      <c r="N5" s="74"/>
      <c r="O5" s="74"/>
    </row>
    <row r="6" spans="1:51" ht="28.5" customHeight="1">
      <c r="A6" s="434">
        <v>1.1000000000000001</v>
      </c>
      <c r="B6" s="91" t="s">
        <v>18</v>
      </c>
      <c r="C6" s="161" t="str">
        <f>"0912-7LEK-B"&amp;A6&amp;"-"&amp;UPPER(LEFT(B6,1))</f>
        <v>0912-7LEK-B1,1-A</v>
      </c>
      <c r="D6" s="162" t="s">
        <v>231</v>
      </c>
      <c r="E6" s="163">
        <f>SUM(F6:I6)</f>
        <v>225</v>
      </c>
      <c r="F6" s="163">
        <f>'I rok'!Z11</f>
        <v>75</v>
      </c>
      <c r="G6" s="163">
        <f>'I rok'!AA11</f>
        <v>60</v>
      </c>
      <c r="H6" s="163">
        <f>'I rok'!AB11</f>
        <v>90</v>
      </c>
      <c r="I6" s="435">
        <f>'I rok'!AC11</f>
        <v>0</v>
      </c>
      <c r="J6" s="435">
        <f>'I rok'!AD11</f>
        <v>425</v>
      </c>
      <c r="K6" s="435">
        <f>'I rok'!AE11</f>
        <v>17</v>
      </c>
      <c r="L6" s="132"/>
      <c r="M6" s="74"/>
      <c r="N6" s="74"/>
      <c r="O6" s="74"/>
    </row>
    <row r="7" spans="1:51" ht="18.75" customHeight="1">
      <c r="A7" s="436">
        <v>1.2</v>
      </c>
      <c r="B7" s="68" t="s">
        <v>20</v>
      </c>
      <c r="C7" s="437" t="str">
        <f>"0912-7LEK-B"&amp;A7&amp;"-"&amp;UPPER(LEFT(B7,1))</f>
        <v>0912-7LEK-B1,2-H</v>
      </c>
      <c r="D7" s="438" t="s">
        <v>231</v>
      </c>
      <c r="E7" s="439">
        <f>SUM(F7:I7)</f>
        <v>100</v>
      </c>
      <c r="F7" s="439">
        <f>'I rok'!Z12</f>
        <v>35</v>
      </c>
      <c r="G7" s="439">
        <f>'I rok'!AA12</f>
        <v>35</v>
      </c>
      <c r="H7" s="439">
        <f>'I rok'!AB12</f>
        <v>30</v>
      </c>
      <c r="I7" s="440">
        <f>'I rok'!AC12</f>
        <v>0</v>
      </c>
      <c r="J7" s="440">
        <f>'I rok'!AD12</f>
        <v>225</v>
      </c>
      <c r="K7" s="440">
        <f>'I rok'!AE12</f>
        <v>9</v>
      </c>
      <c r="L7" s="74"/>
      <c r="M7" s="74"/>
      <c r="N7" s="74"/>
      <c r="O7" s="74"/>
    </row>
    <row r="8" spans="1:51">
      <c r="A8" s="774" t="s">
        <v>9</v>
      </c>
      <c r="B8" s="775"/>
      <c r="C8" s="775"/>
      <c r="D8" s="776"/>
      <c r="E8" s="441">
        <f t="shared" ref="E8:K8" si="0">SUM(E6:E7)</f>
        <v>325</v>
      </c>
      <c r="F8" s="441">
        <f t="shared" si="0"/>
        <v>110</v>
      </c>
      <c r="G8" s="441">
        <f t="shared" si="0"/>
        <v>95</v>
      </c>
      <c r="H8" s="441">
        <f t="shared" si="0"/>
        <v>120</v>
      </c>
      <c r="I8" s="441">
        <f t="shared" si="0"/>
        <v>0</v>
      </c>
      <c r="J8" s="441">
        <f t="shared" si="0"/>
        <v>650</v>
      </c>
      <c r="K8" s="441">
        <f t="shared" si="0"/>
        <v>26</v>
      </c>
      <c r="L8" s="74"/>
      <c r="M8" s="74"/>
      <c r="N8" s="74"/>
      <c r="O8" s="74"/>
    </row>
    <row r="9" spans="1:51">
      <c r="A9" s="771" t="s">
        <v>380</v>
      </c>
      <c r="B9" s="772"/>
      <c r="C9" s="772"/>
      <c r="D9" s="772"/>
      <c r="E9" s="772"/>
      <c r="F9" s="772"/>
      <c r="G9" s="772"/>
      <c r="H9" s="772"/>
      <c r="I9" s="772"/>
      <c r="J9" s="772"/>
      <c r="K9" s="773"/>
      <c r="L9" s="294"/>
    </row>
    <row r="10" spans="1:51" ht="18.75" customHeight="1">
      <c r="A10" s="434">
        <v>2.1</v>
      </c>
      <c r="B10" s="91" t="s">
        <v>35</v>
      </c>
      <c r="C10" s="161" t="s">
        <v>371</v>
      </c>
      <c r="D10" s="162" t="s">
        <v>234</v>
      </c>
      <c r="E10" s="163">
        <f>SUM(F10:I10)</f>
        <v>55</v>
      </c>
      <c r="F10" s="163">
        <f>'II rok'!Z11</f>
        <v>25</v>
      </c>
      <c r="G10" s="163">
        <f>'II rok'!AA11</f>
        <v>15</v>
      </c>
      <c r="H10" s="163">
        <f>'II rok'!AB11</f>
        <v>0</v>
      </c>
      <c r="I10" s="163">
        <f>'II rok'!AC11</f>
        <v>15</v>
      </c>
      <c r="J10" s="163">
        <f>'II rok'!AD11</f>
        <v>100</v>
      </c>
      <c r="K10" s="163">
        <f>'II rok'!AE11</f>
        <v>4</v>
      </c>
      <c r="L10" s="295"/>
    </row>
    <row r="11" spans="1:51" ht="18.75" customHeight="1">
      <c r="A11" s="436">
        <v>2.2000000000000002</v>
      </c>
      <c r="B11" s="68" t="s">
        <v>36</v>
      </c>
      <c r="C11" s="437" t="str">
        <f>"0912-7LEK-B"&amp;A11&amp;"-"&amp;UPPER(LEFT(B11,1))&amp;"BK"</f>
        <v>0912-7LEK-B2,2-PBK</v>
      </c>
      <c r="D11" s="438">
        <v>2</v>
      </c>
      <c r="E11" s="163">
        <f t="shared" ref="E11:E17" si="1">SUM(F11:I11)</f>
        <v>65</v>
      </c>
      <c r="F11" s="439">
        <f>'I rok'!Z15</f>
        <v>35</v>
      </c>
      <c r="G11" s="439">
        <f>'I rok'!AA15</f>
        <v>10</v>
      </c>
      <c r="H11" s="439">
        <f>'I rok'!AB15</f>
        <v>0</v>
      </c>
      <c r="I11" s="439">
        <f>'I rok'!AC15</f>
        <v>20</v>
      </c>
      <c r="J11" s="439">
        <f>'I rok'!AD15</f>
        <v>125</v>
      </c>
      <c r="K11" s="439">
        <f>'I rok'!AE15</f>
        <v>5</v>
      </c>
      <c r="L11" s="295"/>
    </row>
    <row r="12" spans="1:51" ht="15.75">
      <c r="A12" s="436">
        <v>2.2999999999999998</v>
      </c>
      <c r="B12" s="68" t="s">
        <v>37</v>
      </c>
      <c r="C12" s="437" t="str">
        <f>"0912-7LEK-B"&amp;A12&amp;"-"&amp;UPPER(LEFT(B12,1))</f>
        <v>0912-7LEK-B2,3-C</v>
      </c>
      <c r="D12" s="438">
        <v>1</v>
      </c>
      <c r="E12" s="163">
        <f t="shared" si="1"/>
        <v>45</v>
      </c>
      <c r="F12" s="439">
        <f>'I rok'!Z16</f>
        <v>25</v>
      </c>
      <c r="G12" s="439">
        <f>'I rok'!AA16</f>
        <v>0</v>
      </c>
      <c r="H12" s="439">
        <f>'I rok'!AB16</f>
        <v>0</v>
      </c>
      <c r="I12" s="439">
        <f>'I rok'!AC16</f>
        <v>20</v>
      </c>
      <c r="J12" s="439">
        <f>'I rok'!AD16</f>
        <v>100</v>
      </c>
      <c r="K12" s="439">
        <f>'I rok'!AE16</f>
        <v>4</v>
      </c>
      <c r="L12" s="295"/>
    </row>
    <row r="13" spans="1:51" ht="18.75" customHeight="1">
      <c r="A13" s="436">
        <v>2.4</v>
      </c>
      <c r="B13" s="442" t="s">
        <v>38</v>
      </c>
      <c r="C13" s="437" t="str">
        <f>"0912-7LEK-B"&amp;A13&amp;"-"&amp;UPPER(LEFT(B13,1))&amp;"ch"</f>
        <v>0912-7LEK-B2,4-Bch</v>
      </c>
      <c r="D13" s="438">
        <v>3</v>
      </c>
      <c r="E13" s="163">
        <f t="shared" si="1"/>
        <v>55</v>
      </c>
      <c r="F13" s="439">
        <f>'II rok'!Z12</f>
        <v>35</v>
      </c>
      <c r="G13" s="439">
        <f>'II rok'!AA12</f>
        <v>0</v>
      </c>
      <c r="H13" s="439">
        <f>'II rok'!AB12</f>
        <v>0</v>
      </c>
      <c r="I13" s="439">
        <f>'II rok'!AC12</f>
        <v>20</v>
      </c>
      <c r="J13" s="439">
        <f>'II rok'!AD12</f>
        <v>125</v>
      </c>
      <c r="K13" s="439">
        <f>'II rok'!AE12</f>
        <v>5</v>
      </c>
      <c r="L13" s="295"/>
      <c r="U13" s="608"/>
      <c r="V13" s="609"/>
      <c r="W13" s="609"/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09"/>
      <c r="AI13" s="609"/>
      <c r="AJ13" s="609"/>
      <c r="AK13" s="609"/>
      <c r="AL13" s="609"/>
      <c r="AM13" s="609"/>
      <c r="AN13" s="609"/>
      <c r="AO13" s="609"/>
      <c r="AP13" s="609"/>
      <c r="AQ13" s="609"/>
      <c r="AR13" s="609"/>
      <c r="AS13" s="609"/>
      <c r="AT13" s="609"/>
      <c r="AU13" s="609"/>
      <c r="AV13" s="609"/>
      <c r="AW13" s="609"/>
      <c r="AX13" s="609"/>
      <c r="AY13" s="609"/>
    </row>
    <row r="14" spans="1:51" ht="18.75" customHeight="1">
      <c r="A14" s="436">
        <v>2.5</v>
      </c>
      <c r="B14" s="68" t="s">
        <v>39</v>
      </c>
      <c r="C14" s="437" t="str">
        <f>"0912-7LEK-B"&amp;A14&amp;"-"&amp;UPPER(LEFT(B14,1))&amp;"zC"</f>
        <v>0912-7LEK-B2,5-FzC</v>
      </c>
      <c r="D14" s="438" t="s">
        <v>242</v>
      </c>
      <c r="E14" s="163">
        <f t="shared" si="1"/>
        <v>170</v>
      </c>
      <c r="F14" s="439">
        <f>'II rok'!Z13</f>
        <v>60</v>
      </c>
      <c r="G14" s="439">
        <f>'II rok'!AA13</f>
        <v>50</v>
      </c>
      <c r="H14" s="439">
        <f>'II rok'!AB13</f>
        <v>0</v>
      </c>
      <c r="I14" s="439">
        <f>'II rok'!AC13</f>
        <v>60</v>
      </c>
      <c r="J14" s="439">
        <f>'II rok'!AD13</f>
        <v>400</v>
      </c>
      <c r="K14" s="439">
        <f>'II rok'!AE13</f>
        <v>16</v>
      </c>
      <c r="L14" s="295"/>
      <c r="U14" s="622"/>
      <c r="V14" s="622"/>
      <c r="W14" s="50"/>
      <c r="X14" s="12"/>
      <c r="Y14" s="48"/>
      <c r="Z14" s="48"/>
      <c r="AA14" s="48"/>
      <c r="AB14" s="624"/>
      <c r="AC14" s="624"/>
      <c r="AD14" s="624"/>
      <c r="AE14" s="624"/>
      <c r="AF14" s="624"/>
      <c r="AG14" s="624"/>
      <c r="AH14" s="624"/>
      <c r="AI14" s="624"/>
      <c r="AJ14" s="624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ht="35.25" customHeight="1">
      <c r="A15" s="436">
        <v>2.6</v>
      </c>
      <c r="B15" s="68" t="s">
        <v>93</v>
      </c>
      <c r="C15" s="437" t="str">
        <f>"0912-7LEK-B"&amp;A15&amp;"-"&amp;UPPER(LEFT(B15,1))&amp;"zI"</f>
        <v>0912-7LEK-B2,6-BzI</v>
      </c>
      <c r="D15" s="438" t="s">
        <v>231</v>
      </c>
      <c r="E15" s="163">
        <f t="shared" si="1"/>
        <v>75</v>
      </c>
      <c r="F15" s="439">
        <f>'I rok'!Z17</f>
        <v>40</v>
      </c>
      <c r="G15" s="439">
        <f>'I rok'!AA17</f>
        <v>35</v>
      </c>
      <c r="H15" s="439">
        <f>'I rok'!AB17</f>
        <v>0</v>
      </c>
      <c r="I15" s="439">
        <f>'I rok'!AC17</f>
        <v>0</v>
      </c>
      <c r="J15" s="439">
        <f>'I rok'!AD17</f>
        <v>150</v>
      </c>
      <c r="K15" s="439">
        <f>'I rok'!AE17</f>
        <v>6</v>
      </c>
      <c r="L15" s="295"/>
    </row>
    <row r="16" spans="1:51" ht="32.25" customHeight="1">
      <c r="A16" s="436">
        <v>2.7</v>
      </c>
      <c r="B16" s="68" t="s">
        <v>91</v>
      </c>
      <c r="C16" s="437" t="str">
        <f>"0912-7LEK-B"&amp;A16&amp;"-"&amp;UPPER(LEFT(B16,1))&amp;"P"</f>
        <v>0912-7LEK-B2,7-PP</v>
      </c>
      <c r="D16" s="438">
        <v>2</v>
      </c>
      <c r="E16" s="163">
        <f t="shared" si="1"/>
        <v>40</v>
      </c>
      <c r="F16" s="439">
        <f>'I rok'!Z18</f>
        <v>0</v>
      </c>
      <c r="G16" s="439">
        <f>'I rok'!AA18</f>
        <v>20</v>
      </c>
      <c r="H16" s="439">
        <f>'I rok'!AB18</f>
        <v>20</v>
      </c>
      <c r="I16" s="439">
        <f>'I rok'!AC18</f>
        <v>0</v>
      </c>
      <c r="J16" s="439">
        <f>'I rok'!AD18</f>
        <v>75</v>
      </c>
      <c r="K16" s="439">
        <f>'I rok'!AE18</f>
        <v>3</v>
      </c>
      <c r="X16" s="281"/>
    </row>
    <row r="17" spans="1:51" ht="32.25" customHeight="1">
      <c r="A17" s="443">
        <v>2.8</v>
      </c>
      <c r="B17" s="68" t="s">
        <v>404</v>
      </c>
      <c r="C17" s="444" t="s">
        <v>324</v>
      </c>
      <c r="D17" s="445" t="s">
        <v>125</v>
      </c>
      <c r="E17" s="163">
        <f t="shared" si="1"/>
        <v>20</v>
      </c>
      <c r="F17" s="446">
        <f>'V rok'!Z11</f>
        <v>10</v>
      </c>
      <c r="G17" s="446">
        <f>'V rok'!AA11</f>
        <v>10</v>
      </c>
      <c r="H17" s="446">
        <f>'V rok'!AB11</f>
        <v>0</v>
      </c>
      <c r="I17" s="446">
        <f>'V rok'!AC11</f>
        <v>0</v>
      </c>
      <c r="J17" s="446">
        <f>'V rok'!AD11</f>
        <v>25</v>
      </c>
      <c r="K17" s="446">
        <f>'V rok'!AE11</f>
        <v>1</v>
      </c>
      <c r="L17" s="295"/>
    </row>
    <row r="18" spans="1:51" ht="17.25" customHeight="1">
      <c r="A18" s="774" t="s">
        <v>9</v>
      </c>
      <c r="B18" s="775"/>
      <c r="C18" s="775"/>
      <c r="D18" s="776"/>
      <c r="E18" s="441">
        <f t="shared" ref="E18:K18" si="2">SUM(E10:E17)</f>
        <v>525</v>
      </c>
      <c r="F18" s="441">
        <f t="shared" si="2"/>
        <v>230</v>
      </c>
      <c r="G18" s="441">
        <f t="shared" si="2"/>
        <v>140</v>
      </c>
      <c r="H18" s="441">
        <f t="shared" si="2"/>
        <v>20</v>
      </c>
      <c r="I18" s="441">
        <f t="shared" si="2"/>
        <v>135</v>
      </c>
      <c r="J18" s="441">
        <f t="shared" si="2"/>
        <v>1100</v>
      </c>
      <c r="K18" s="441">
        <f t="shared" si="2"/>
        <v>44</v>
      </c>
    </row>
    <row r="19" spans="1:51">
      <c r="A19" s="771" t="s">
        <v>391</v>
      </c>
      <c r="B19" s="772"/>
      <c r="C19" s="772"/>
      <c r="D19" s="772"/>
      <c r="E19" s="772"/>
      <c r="F19" s="772"/>
      <c r="G19" s="772"/>
      <c r="H19" s="772"/>
      <c r="I19" s="772"/>
      <c r="J19" s="772"/>
      <c r="K19" s="773"/>
      <c r="L19" s="293"/>
    </row>
    <row r="20" spans="1:51" ht="15.75">
      <c r="A20" s="434">
        <v>3.1</v>
      </c>
      <c r="B20" s="91" t="s">
        <v>41</v>
      </c>
      <c r="C20" s="161" t="str">
        <f>"0912-7LEK-C"&amp;A20&amp;"-"&amp;UPPER(LEFT(B20,1))</f>
        <v>0912-7LEK-C3,1-G</v>
      </c>
      <c r="D20" s="162">
        <v>3</v>
      </c>
      <c r="E20" s="163">
        <f>SUM(F20:I20)</f>
        <v>35</v>
      </c>
      <c r="F20" s="163">
        <f>'II rok'!Z16</f>
        <v>15</v>
      </c>
      <c r="G20" s="163">
        <f>'II rok'!AA16</f>
        <v>20</v>
      </c>
      <c r="H20" s="163">
        <f>'II rok'!AB16</f>
        <v>0</v>
      </c>
      <c r="I20" s="163">
        <f>'II rok'!AC16</f>
        <v>0</v>
      </c>
      <c r="J20" s="163">
        <f>'II rok'!AD16</f>
        <v>50</v>
      </c>
      <c r="K20" s="163">
        <f>'II rok'!AE16</f>
        <v>2</v>
      </c>
      <c r="L20" s="293"/>
    </row>
    <row r="21" spans="1:51" ht="15.75">
      <c r="A21" s="511">
        <v>3.2</v>
      </c>
      <c r="B21" s="68" t="s">
        <v>42</v>
      </c>
      <c r="C21" s="437" t="str">
        <f>'II rok'!C17</f>
        <v>0912-7LEK-3.2-MP</v>
      </c>
      <c r="D21" s="438" t="s">
        <v>242</v>
      </c>
      <c r="E21" s="163">
        <f>SUM(F21:I21)</f>
        <v>75</v>
      </c>
      <c r="F21" s="163">
        <f>'II rok'!Z17</f>
        <v>20</v>
      </c>
      <c r="G21" s="163">
        <f>'II rok'!AA17</f>
        <v>30</v>
      </c>
      <c r="H21" s="163">
        <f>'II rok'!AB17</f>
        <v>0</v>
      </c>
      <c r="I21" s="163">
        <f>'II rok'!AC17</f>
        <v>25</v>
      </c>
      <c r="J21" s="163">
        <f>'II rok'!AD17</f>
        <v>150</v>
      </c>
      <c r="K21" s="163">
        <f>'II rok'!AE17</f>
        <v>6</v>
      </c>
      <c r="L21" s="295"/>
    </row>
    <row r="22" spans="1:51" s="295" customFormat="1" ht="15.75">
      <c r="A22" s="511">
        <v>3.3</v>
      </c>
      <c r="B22" s="68" t="s">
        <v>526</v>
      </c>
      <c r="C22" s="512" t="str">
        <f>'II rok'!C18</f>
        <v>0912-7LEK-3.3-P</v>
      </c>
      <c r="D22" s="438" t="s">
        <v>139</v>
      </c>
      <c r="E22" s="509">
        <f>SUM(F22:I22)</f>
        <v>35</v>
      </c>
      <c r="F22" s="509">
        <f>'II rok'!Z18</f>
        <v>15</v>
      </c>
      <c r="G22" s="509">
        <f>'II rok'!AA18</f>
        <v>10</v>
      </c>
      <c r="H22" s="509">
        <f>'II rok'!AB18</f>
        <v>0</v>
      </c>
      <c r="I22" s="509">
        <f>'II rok'!AC18</f>
        <v>10</v>
      </c>
      <c r="J22" s="509">
        <f>'II rok'!AD18</f>
        <v>50</v>
      </c>
      <c r="K22" s="509">
        <f>'II rok'!AE18</f>
        <v>2</v>
      </c>
    </row>
    <row r="23" spans="1:51" ht="15.75">
      <c r="A23" s="511">
        <v>3.4</v>
      </c>
      <c r="B23" s="68" t="s">
        <v>44</v>
      </c>
      <c r="C23" s="437" t="str">
        <f t="shared" ref="C23:C25" si="3">"0912-7LEK-C"&amp;A23&amp;"-"&amp;UPPER(LEFT(B23,1))</f>
        <v>0912-7LEK-C3,4-I</v>
      </c>
      <c r="D23" s="438" t="s">
        <v>139</v>
      </c>
      <c r="E23" s="163">
        <f t="shared" ref="E23:E26" si="4">SUM(F23:I23)</f>
        <v>40</v>
      </c>
      <c r="F23" s="163">
        <f>'II rok'!Z19</f>
        <v>15</v>
      </c>
      <c r="G23" s="163">
        <f>'II rok'!AA19</f>
        <v>10</v>
      </c>
      <c r="H23" s="163">
        <f>'II rok'!AB19</f>
        <v>0</v>
      </c>
      <c r="I23" s="163">
        <f>'II rok'!AC19</f>
        <v>15</v>
      </c>
      <c r="J23" s="163">
        <f>'II rok'!AD19</f>
        <v>75</v>
      </c>
      <c r="K23" s="163">
        <f>'II rok'!AE19</f>
        <v>3</v>
      </c>
    </row>
    <row r="24" spans="1:51" ht="15.75">
      <c r="A24" s="511">
        <v>3.5</v>
      </c>
      <c r="B24" s="68" t="s">
        <v>45</v>
      </c>
      <c r="C24" s="437" t="str">
        <f t="shared" si="3"/>
        <v>0912-7LEK-C3,5-P</v>
      </c>
      <c r="D24" s="438" t="s">
        <v>243</v>
      </c>
      <c r="E24" s="163">
        <f t="shared" si="4"/>
        <v>130</v>
      </c>
      <c r="F24" s="439">
        <f>'III rok'!Z11</f>
        <v>40</v>
      </c>
      <c r="G24" s="439">
        <f>'III rok'!AA11</f>
        <v>90</v>
      </c>
      <c r="H24" s="439">
        <f>'III rok'!AB11</f>
        <v>0</v>
      </c>
      <c r="I24" s="439">
        <f>'III rok'!AC11</f>
        <v>0</v>
      </c>
      <c r="J24" s="439">
        <f>'III rok'!AD11</f>
        <v>275</v>
      </c>
      <c r="K24" s="439">
        <f>'III rok'!AE11</f>
        <v>11</v>
      </c>
    </row>
    <row r="25" spans="1:51" ht="15.75">
      <c r="A25" s="511">
        <v>3.6</v>
      </c>
      <c r="B25" s="68" t="s">
        <v>518</v>
      </c>
      <c r="C25" s="437" t="str">
        <f t="shared" si="3"/>
        <v>0912-7LEK-C3,6-F</v>
      </c>
      <c r="D25" s="438" t="s">
        <v>243</v>
      </c>
      <c r="E25" s="163">
        <f t="shared" si="4"/>
        <v>125</v>
      </c>
      <c r="F25" s="439">
        <f>'III rok'!Z12</f>
        <v>45</v>
      </c>
      <c r="G25" s="439">
        <f>'III rok'!AA12</f>
        <v>80</v>
      </c>
      <c r="H25" s="439">
        <f>'III rok'!AB12</f>
        <v>0</v>
      </c>
      <c r="I25" s="439">
        <f>'III rok'!AC12</f>
        <v>0</v>
      </c>
      <c r="J25" s="439">
        <f>'III rok'!AD12</f>
        <v>300</v>
      </c>
      <c r="K25" s="439">
        <f>'III rok'!AE12</f>
        <v>12</v>
      </c>
    </row>
    <row r="26" spans="1:51" ht="15.75">
      <c r="A26" s="511">
        <v>3.7</v>
      </c>
      <c r="B26" s="68" t="s">
        <v>126</v>
      </c>
      <c r="C26" s="437" t="s">
        <v>519</v>
      </c>
      <c r="D26" s="438" t="s">
        <v>139</v>
      </c>
      <c r="E26" s="163">
        <f t="shared" si="4"/>
        <v>15</v>
      </c>
      <c r="F26" s="439">
        <f>'II rok'!Z20</f>
        <v>15</v>
      </c>
      <c r="G26" s="439">
        <f>'II rok'!AA20</f>
        <v>0</v>
      </c>
      <c r="H26" s="439">
        <f>'II rok'!AB20</f>
        <v>0</v>
      </c>
      <c r="I26" s="439">
        <f>'II rok'!AC20</f>
        <v>0</v>
      </c>
      <c r="J26" s="439">
        <f>'II rok'!AD20</f>
        <v>25</v>
      </c>
      <c r="K26" s="439">
        <f>'II rok'!AE20</f>
        <v>1</v>
      </c>
    </row>
    <row r="27" spans="1:51" s="290" customFormat="1" ht="23.25">
      <c r="A27" s="511">
        <v>3.8</v>
      </c>
      <c r="B27" s="68" t="s">
        <v>40</v>
      </c>
      <c r="C27" s="437" t="s">
        <v>520</v>
      </c>
      <c r="D27" s="438" t="s">
        <v>243</v>
      </c>
      <c r="E27" s="163">
        <f>SUM(F27:I27)</f>
        <v>70</v>
      </c>
      <c r="F27" s="439">
        <f>'III rok'!Z13</f>
        <v>30</v>
      </c>
      <c r="G27" s="439">
        <f>'III rok'!AA13</f>
        <v>40</v>
      </c>
      <c r="H27" s="439">
        <f>'III rok'!AB13</f>
        <v>0</v>
      </c>
      <c r="I27" s="439">
        <f>'III rok'!AC13</f>
        <v>0</v>
      </c>
      <c r="J27" s="439">
        <f>'III rok'!AD13</f>
        <v>175</v>
      </c>
      <c r="K27" s="439">
        <f>'III rok'!AE13</f>
        <v>7</v>
      </c>
      <c r="U27" s="777"/>
      <c r="V27" s="777"/>
      <c r="W27" s="291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</row>
    <row r="28" spans="1:51">
      <c r="A28" s="774" t="s">
        <v>9</v>
      </c>
      <c r="B28" s="775"/>
      <c r="C28" s="775"/>
      <c r="D28" s="776"/>
      <c r="E28" s="441">
        <f>SUM(E20:E27)</f>
        <v>525</v>
      </c>
      <c r="F28" s="441">
        <f>SUM(F20:F27)</f>
        <v>195</v>
      </c>
      <c r="G28" s="441">
        <f>SUM(G20:G27)</f>
        <v>280</v>
      </c>
      <c r="H28" s="441">
        <f>SUM(H20:H26)</f>
        <v>0</v>
      </c>
      <c r="I28" s="441">
        <f>SUM(I20:I27)</f>
        <v>50</v>
      </c>
      <c r="J28" s="441">
        <f>SUM(J20:J27)</f>
        <v>1100</v>
      </c>
      <c r="K28" s="441">
        <f>SUM(K20:K27)</f>
        <v>44</v>
      </c>
    </row>
    <row r="29" spans="1:51">
      <c r="A29" s="771" t="s">
        <v>381</v>
      </c>
      <c r="B29" s="772"/>
      <c r="C29" s="772"/>
      <c r="D29" s="772"/>
      <c r="E29" s="772"/>
      <c r="F29" s="772"/>
      <c r="G29" s="772"/>
      <c r="H29" s="772"/>
      <c r="I29" s="772"/>
      <c r="J29" s="772"/>
      <c r="K29" s="773"/>
    </row>
    <row r="30" spans="1:51" ht="15.75">
      <c r="A30" s="414">
        <v>4.0999999999999996</v>
      </c>
      <c r="B30" s="91" t="s">
        <v>47</v>
      </c>
      <c r="C30" s="161" t="str">
        <f>"0912-7LEK-B"&amp;A30&amp;"-"&amp;UPPER(LEFT(B30,1))</f>
        <v>0912-7LEK-B4,1-S</v>
      </c>
      <c r="D30" s="162">
        <v>2</v>
      </c>
      <c r="E30" s="163">
        <f>SUM(F30:I30)</f>
        <v>15</v>
      </c>
      <c r="F30" s="163">
        <f>'I rok'!Z21</f>
        <v>15</v>
      </c>
      <c r="G30" s="163">
        <f>'I rok'!AA21</f>
        <v>0</v>
      </c>
      <c r="H30" s="163">
        <f>'I rok'!AB21</f>
        <v>0</v>
      </c>
      <c r="I30" s="163">
        <f>'I rok'!AC21</f>
        <v>0</v>
      </c>
      <c r="J30" s="163">
        <f>'I rok'!AD21</f>
        <v>25</v>
      </c>
      <c r="K30" s="163">
        <f>'I rok'!AE21</f>
        <v>1</v>
      </c>
    </row>
    <row r="31" spans="1:51" ht="15.75">
      <c r="A31" s="436">
        <v>4.2</v>
      </c>
      <c r="B31" s="68" t="s">
        <v>48</v>
      </c>
      <c r="C31" s="437" t="str">
        <f>"0912-7LEK-B"&amp;A31&amp;"-"&amp;UPPER(LEFT(B31,1))</f>
        <v>0912-7LEK-B4,2-P</v>
      </c>
      <c r="D31" s="438" t="s">
        <v>232</v>
      </c>
      <c r="E31" s="163">
        <f t="shared" ref="E31:E36" si="5">SUM(F31:I31)</f>
        <v>15</v>
      </c>
      <c r="F31" s="163">
        <f>'I rok'!Z22</f>
        <v>15</v>
      </c>
      <c r="G31" s="163">
        <f>'I rok'!AA22</f>
        <v>0</v>
      </c>
      <c r="H31" s="163">
        <f>'I rok'!AB22</f>
        <v>0</v>
      </c>
      <c r="I31" s="163">
        <f>'I rok'!AC22</f>
        <v>0</v>
      </c>
      <c r="J31" s="163">
        <f>'I rok'!AD22</f>
        <v>25</v>
      </c>
      <c r="K31" s="163">
        <f>'I rok'!AE22</f>
        <v>1</v>
      </c>
    </row>
    <row r="32" spans="1:51" ht="15.75">
      <c r="A32" s="420">
        <v>4.3</v>
      </c>
      <c r="B32" s="68" t="s">
        <v>49</v>
      </c>
      <c r="C32" s="437" t="str">
        <f>"0912-7LEK-B"&amp;A32&amp;"-"&amp;UPPER(LEFT(B32,1))</f>
        <v>0912-7LEK-B4,3-E</v>
      </c>
      <c r="D32" s="438">
        <v>1</v>
      </c>
      <c r="E32" s="163">
        <f t="shared" si="5"/>
        <v>15</v>
      </c>
      <c r="F32" s="163">
        <f>'I rok'!Z23</f>
        <v>15</v>
      </c>
      <c r="G32" s="163">
        <f>'I rok'!AA23</f>
        <v>0</v>
      </c>
      <c r="H32" s="163">
        <f>'I rok'!AB23</f>
        <v>0</v>
      </c>
      <c r="I32" s="163">
        <f>'I rok'!AC23</f>
        <v>0</v>
      </c>
      <c r="J32" s="163">
        <f>'I rok'!AD23</f>
        <v>25</v>
      </c>
      <c r="K32" s="163">
        <f>'I rok'!AE23</f>
        <v>1</v>
      </c>
    </row>
    <row r="33" spans="1:11" ht="15.75">
      <c r="A33" s="436">
        <v>4.4000000000000004</v>
      </c>
      <c r="B33" s="68" t="s">
        <v>92</v>
      </c>
      <c r="C33" s="437" t="str">
        <f>"0912-7LEK-B"&amp;A33&amp;"-"&amp;UPPER(LEFT(B33,1))</f>
        <v>0912-7LEK-B4,4-E</v>
      </c>
      <c r="D33" s="438">
        <v>1</v>
      </c>
      <c r="E33" s="163">
        <f t="shared" si="5"/>
        <v>15</v>
      </c>
      <c r="F33" s="163">
        <f>'I rok'!Z24</f>
        <v>15</v>
      </c>
      <c r="G33" s="163">
        <f>'I rok'!AA24</f>
        <v>0</v>
      </c>
      <c r="H33" s="163">
        <f>'I rok'!AB24</f>
        <v>0</v>
      </c>
      <c r="I33" s="163">
        <f>'I rok'!AC24</f>
        <v>0</v>
      </c>
      <c r="J33" s="163">
        <f>'I rok'!AD24</f>
        <v>25</v>
      </c>
      <c r="K33" s="163">
        <f>'I rok'!AE24</f>
        <v>1</v>
      </c>
    </row>
    <row r="34" spans="1:11" ht="15.75">
      <c r="A34" s="414">
        <v>4.5</v>
      </c>
      <c r="B34" s="68" t="s">
        <v>50</v>
      </c>
      <c r="C34" s="437" t="str">
        <f>"0912-7LEK-B"&amp;A34&amp;"-"&amp;UPPER(LEFT(B34,1))</f>
        <v>0912-7LEK-B4,5-H</v>
      </c>
      <c r="D34" s="438" t="s">
        <v>232</v>
      </c>
      <c r="E34" s="163">
        <f t="shared" si="5"/>
        <v>30</v>
      </c>
      <c r="F34" s="163">
        <f>'I rok'!Z25</f>
        <v>30</v>
      </c>
      <c r="G34" s="163">
        <f>'I rok'!AA25</f>
        <v>0</v>
      </c>
      <c r="H34" s="163">
        <f>'I rok'!AB25</f>
        <v>0</v>
      </c>
      <c r="I34" s="163">
        <f>'I rok'!AC25</f>
        <v>0</v>
      </c>
      <c r="J34" s="163">
        <f>'I rok'!AD25</f>
        <v>50</v>
      </c>
      <c r="K34" s="163">
        <f>'I rok'!AE25</f>
        <v>2</v>
      </c>
    </row>
    <row r="35" spans="1:11" ht="15.75">
      <c r="A35" s="420">
        <v>4.5999999999999996</v>
      </c>
      <c r="B35" s="447" t="s">
        <v>17</v>
      </c>
      <c r="C35" s="437" t="str">
        <f>"0912-7LEK-A"&amp;A35&amp;"-"&amp;UPPER(LEFT(B35,1))&amp;"A"</f>
        <v>0912-7LEK-A4,6-JA</v>
      </c>
      <c r="D35" s="438" t="s">
        <v>230</v>
      </c>
      <c r="E35" s="163">
        <f t="shared" si="5"/>
        <v>120</v>
      </c>
      <c r="F35" s="439">
        <f>'I rok'!Z26+'II rok'!Z23</f>
        <v>0</v>
      </c>
      <c r="G35" s="439">
        <f>'I rok'!AA26+'II rok'!AA23</f>
        <v>120</v>
      </c>
      <c r="H35" s="163">
        <f>'I rok'!AB26</f>
        <v>0</v>
      </c>
      <c r="I35" s="439">
        <f>'I rok'!AC26+'II rok'!AC23</f>
        <v>0</v>
      </c>
      <c r="J35" s="439">
        <f>'I rok'!AD26+'II rok'!AD23</f>
        <v>180</v>
      </c>
      <c r="K35" s="439">
        <f>'I rok'!AE26+'II rok'!AE23</f>
        <v>6</v>
      </c>
    </row>
    <row r="36" spans="1:11" ht="39.75" customHeight="1">
      <c r="A36" s="420">
        <v>4.7</v>
      </c>
      <c r="B36" s="68" t="s">
        <v>309</v>
      </c>
      <c r="C36" s="437" t="s">
        <v>374</v>
      </c>
      <c r="D36" s="438" t="s">
        <v>139</v>
      </c>
      <c r="E36" s="163">
        <f t="shared" si="5"/>
        <v>30</v>
      </c>
      <c r="F36" s="439">
        <f>'II rok'!Z24</f>
        <v>20</v>
      </c>
      <c r="G36" s="439">
        <f>'II rok'!AA24</f>
        <v>10</v>
      </c>
      <c r="H36" s="439">
        <f>'II rok'!AB24</f>
        <v>0</v>
      </c>
      <c r="I36" s="439">
        <f>'II rok'!AC24</f>
        <v>0</v>
      </c>
      <c r="J36" s="439">
        <f>'II rok'!AD24</f>
        <v>50</v>
      </c>
      <c r="K36" s="439">
        <f>'II rok'!AE24</f>
        <v>2</v>
      </c>
    </row>
    <row r="37" spans="1:11">
      <c r="A37" s="774" t="s">
        <v>9</v>
      </c>
      <c r="B37" s="775"/>
      <c r="C37" s="775"/>
      <c r="D37" s="776"/>
      <c r="E37" s="441">
        <f t="shared" ref="E37:K37" si="6">SUM(E30:E36)</f>
        <v>240</v>
      </c>
      <c r="F37" s="441">
        <f t="shared" si="6"/>
        <v>110</v>
      </c>
      <c r="G37" s="441">
        <f t="shared" si="6"/>
        <v>130</v>
      </c>
      <c r="H37" s="441">
        <f t="shared" si="6"/>
        <v>0</v>
      </c>
      <c r="I37" s="441">
        <f t="shared" si="6"/>
        <v>0</v>
      </c>
      <c r="J37" s="441">
        <f t="shared" si="6"/>
        <v>380</v>
      </c>
      <c r="K37" s="441">
        <f t="shared" si="6"/>
        <v>14</v>
      </c>
    </row>
    <row r="38" spans="1:11">
      <c r="A38" s="771" t="s">
        <v>393</v>
      </c>
      <c r="B38" s="772"/>
      <c r="C38" s="772"/>
      <c r="D38" s="772"/>
      <c r="E38" s="772"/>
      <c r="F38" s="772"/>
      <c r="G38" s="772"/>
      <c r="H38" s="772"/>
      <c r="I38" s="772"/>
      <c r="J38" s="772"/>
      <c r="K38" s="773"/>
    </row>
    <row r="39" spans="1:11" ht="15.75">
      <c r="A39" s="414">
        <v>5.0999999999999996</v>
      </c>
      <c r="B39" s="91" t="s">
        <v>51</v>
      </c>
      <c r="C39" s="161" t="str">
        <f>"0912-7LEK-C"&amp;A39&amp;"-"&amp;UPPER(LEFT(B39,1))</f>
        <v>0912-7LEK-C5,1-P</v>
      </c>
      <c r="D39" s="162" t="s">
        <v>427</v>
      </c>
      <c r="E39" s="163">
        <f>SUM(F39:I39)</f>
        <v>265</v>
      </c>
      <c r="F39" s="163">
        <f>'III rok'!Z16+'IV rok'!Z11+'V rok'!Z14</f>
        <v>75</v>
      </c>
      <c r="G39" s="163">
        <f>'III rok'!AA16+'IV rok'!AA11+'V rok'!AA14</f>
        <v>75</v>
      </c>
      <c r="H39" s="163">
        <f>'III rok'!AB16+'IV rok'!AB11+'V rok'!AB14</f>
        <v>115</v>
      </c>
      <c r="I39" s="163">
        <f>'III rok'!AC16+'IV rok'!AC11+'V rok'!AC14</f>
        <v>0</v>
      </c>
      <c r="J39" s="163">
        <f>'III rok'!AD16+'IV rok'!AD11+'V rok'!AD14</f>
        <v>400</v>
      </c>
      <c r="K39" s="163">
        <f>'III rok'!AE16+'IV rok'!AE11+'V rok'!AE14</f>
        <v>16</v>
      </c>
    </row>
    <row r="40" spans="1:11" ht="15.75">
      <c r="A40" s="420">
        <v>5.2</v>
      </c>
      <c r="B40" s="68" t="s">
        <v>80</v>
      </c>
      <c r="C40" s="437" t="str">
        <f>"0912-7LEK-C"&amp;A40&amp;"-"&amp;UPPER(LEFT(B40,1))&amp;"W"</f>
        <v>0912-7LEK-C5,2-CW</v>
      </c>
      <c r="D40" s="438" t="s">
        <v>502</v>
      </c>
      <c r="E40" s="163">
        <f>SUM(F40:I40)</f>
        <v>180</v>
      </c>
      <c r="F40" s="439">
        <f>'III rok'!Z17+'IV rok'!Z12+'V rok'!Z15</f>
        <v>60</v>
      </c>
      <c r="G40" s="439">
        <f>'III rok'!AA17+'IV rok'!AA12+'V rok'!AA15</f>
        <v>50</v>
      </c>
      <c r="H40" s="439">
        <f>'III rok'!AB17+'IV rok'!AB12+'V rok'!AB15</f>
        <v>70</v>
      </c>
      <c r="I40" s="163">
        <f>'III rok'!AC17+'IV rok'!AC12+'V rok'!AC15</f>
        <v>0</v>
      </c>
      <c r="J40" s="163">
        <f>'III rok'!AD17+'IV rok'!AD12+'V rok'!AD15</f>
        <v>250</v>
      </c>
      <c r="K40" s="163">
        <f>'III rok'!AE17+'IV rok'!AE12+'V rok'!AE15</f>
        <v>10</v>
      </c>
    </row>
    <row r="41" spans="1:11" ht="31.5">
      <c r="A41" s="420" t="s">
        <v>315</v>
      </c>
      <c r="B41" s="68" t="s">
        <v>314</v>
      </c>
      <c r="C41" s="437" t="str">
        <f>"0912-7LEK-C"&amp;A41&amp;"-"&amp;UPPER(LEFT(B41,1))&amp;"W"</f>
        <v>0912-7LEK-C5.2a-CW</v>
      </c>
      <c r="D41" s="438" t="s">
        <v>141</v>
      </c>
      <c r="E41" s="163">
        <f t="shared" ref="E41:E51" si="7">SUM(F41:I41)</f>
        <v>55</v>
      </c>
      <c r="F41" s="439">
        <f>'III rok'!Z18</f>
        <v>15</v>
      </c>
      <c r="G41" s="439">
        <f>'III rok'!AA18</f>
        <v>15</v>
      </c>
      <c r="H41" s="439">
        <f>'III rok'!AB18</f>
        <v>25</v>
      </c>
      <c r="I41" s="439">
        <f>'III rok'!AC18</f>
        <v>0</v>
      </c>
      <c r="J41" s="439">
        <f>'III rok'!AD18</f>
        <v>75</v>
      </c>
      <c r="K41" s="439">
        <f>'III rok'!AE18</f>
        <v>3</v>
      </c>
    </row>
    <row r="42" spans="1:11" ht="15.75">
      <c r="A42" s="420">
        <v>5.3</v>
      </c>
      <c r="B42" s="68" t="s">
        <v>52</v>
      </c>
      <c r="C42" s="437" t="str">
        <f t="shared" ref="C42:C49" si="8">"0912-7LEK-C"&amp;A42&amp;"-"&amp;UPPER(LEFT(B42,1))</f>
        <v>0912-7LEK-C5,3-G</v>
      </c>
      <c r="D42" s="438">
        <v>10</v>
      </c>
      <c r="E42" s="163">
        <f t="shared" si="7"/>
        <v>50</v>
      </c>
      <c r="F42" s="439">
        <f>'V rok'!Z16</f>
        <v>15</v>
      </c>
      <c r="G42" s="439">
        <f>'V rok'!AA16</f>
        <v>20</v>
      </c>
      <c r="H42" s="439">
        <f>'V rok'!AB16</f>
        <v>15</v>
      </c>
      <c r="I42" s="439">
        <f>'V rok'!AC16</f>
        <v>0</v>
      </c>
      <c r="J42" s="439">
        <f>'V rok'!AD16</f>
        <v>75</v>
      </c>
      <c r="K42" s="439">
        <f>'V rok'!AE16</f>
        <v>3</v>
      </c>
    </row>
    <row r="43" spans="1:11" ht="15.75">
      <c r="A43" s="420">
        <v>5.4</v>
      </c>
      <c r="B43" s="68" t="s">
        <v>53</v>
      </c>
      <c r="C43" s="437" t="str">
        <f t="shared" si="8"/>
        <v>0912-7LEK-C5,4-N</v>
      </c>
      <c r="D43" s="438">
        <v>7</v>
      </c>
      <c r="E43" s="163">
        <f t="shared" si="7"/>
        <v>60</v>
      </c>
      <c r="F43" s="439">
        <f>'IV rok'!Z13</f>
        <v>15</v>
      </c>
      <c r="G43" s="439">
        <f>'IV rok'!AA13</f>
        <v>15</v>
      </c>
      <c r="H43" s="439">
        <f>'IV rok'!AB13</f>
        <v>30</v>
      </c>
      <c r="I43" s="439">
        <f>'IV rok'!AC13</f>
        <v>0</v>
      </c>
      <c r="J43" s="439">
        <f>'IV rok'!AD13</f>
        <v>100</v>
      </c>
      <c r="K43" s="439">
        <f>'IV rok'!AE13</f>
        <v>4</v>
      </c>
    </row>
    <row r="44" spans="1:11" ht="15.75">
      <c r="A44" s="420">
        <v>5.5</v>
      </c>
      <c r="B44" s="68" t="s">
        <v>54</v>
      </c>
      <c r="C44" s="437" t="str">
        <f t="shared" si="8"/>
        <v>0912-7LEK-C5,5-P</v>
      </c>
      <c r="D44" s="438">
        <v>8</v>
      </c>
      <c r="E44" s="163">
        <f t="shared" si="7"/>
        <v>65</v>
      </c>
      <c r="F44" s="439">
        <f>'IV rok'!Z14</f>
        <v>20</v>
      </c>
      <c r="G44" s="439">
        <f>'IV rok'!AA14</f>
        <v>20</v>
      </c>
      <c r="H44" s="439">
        <f>'IV rok'!AB14</f>
        <v>25</v>
      </c>
      <c r="I44" s="439">
        <f>'IV rok'!AC14</f>
        <v>0</v>
      </c>
      <c r="J44" s="439">
        <f>'IV rok'!AD14</f>
        <v>100</v>
      </c>
      <c r="K44" s="439">
        <f>'IV rok'!AE14</f>
        <v>4</v>
      </c>
    </row>
    <row r="45" spans="1:11" ht="15.75">
      <c r="A45" s="420">
        <v>5.6</v>
      </c>
      <c r="B45" s="68" t="s">
        <v>55</v>
      </c>
      <c r="C45" s="437" t="str">
        <f t="shared" si="8"/>
        <v>0912-7LEK-C5,6-O</v>
      </c>
      <c r="D45" s="438">
        <v>7</v>
      </c>
      <c r="E45" s="163">
        <f t="shared" si="7"/>
        <v>55</v>
      </c>
      <c r="F45" s="439">
        <f>'IV rok'!Z15</f>
        <v>15</v>
      </c>
      <c r="G45" s="439">
        <f>'IV rok'!AA15</f>
        <v>15</v>
      </c>
      <c r="H45" s="439">
        <f>'IV rok'!AB15</f>
        <v>25</v>
      </c>
      <c r="I45" s="439">
        <f>'IV rok'!AC15</f>
        <v>0</v>
      </c>
      <c r="J45" s="439">
        <f>'IV rok'!AD15</f>
        <v>100</v>
      </c>
      <c r="K45" s="439">
        <f>'IV rok'!AE15</f>
        <v>4</v>
      </c>
    </row>
    <row r="46" spans="1:11" ht="15.75">
      <c r="A46" s="420">
        <v>5.7</v>
      </c>
      <c r="B46" s="68" t="s">
        <v>56</v>
      </c>
      <c r="C46" s="437" t="str">
        <f>"0912-7LEK-C"&amp;A46&amp;"-"&amp;UPPER(LEFT(B46,1))&amp;"R"</f>
        <v>0912-7LEK-C5,7-MR</v>
      </c>
      <c r="D46" s="438">
        <v>9</v>
      </c>
      <c r="E46" s="163">
        <f t="shared" si="7"/>
        <v>55</v>
      </c>
      <c r="F46" s="439">
        <f>'V rok'!Z17</f>
        <v>15</v>
      </c>
      <c r="G46" s="439">
        <f>'V rok'!AA17</f>
        <v>25</v>
      </c>
      <c r="H46" s="439">
        <f>'V rok'!AB17</f>
        <v>15</v>
      </c>
      <c r="I46" s="439">
        <f>'V rok'!AC17</f>
        <v>0</v>
      </c>
      <c r="J46" s="439">
        <f>'V rok'!AD17</f>
        <v>100</v>
      </c>
      <c r="K46" s="439">
        <f>'V rok'!AE17</f>
        <v>4</v>
      </c>
    </row>
    <row r="47" spans="1:11" ht="15.75">
      <c r="A47" s="420">
        <v>5.8</v>
      </c>
      <c r="B47" s="68" t="s">
        <v>57</v>
      </c>
      <c r="C47" s="437" t="str">
        <f>"0912-7LEK-C"&amp;A47&amp;"-"&amp;UPPER(LEFT(B47,1))&amp;"iW"</f>
        <v>0912-7LEK-C5,8-DiW</v>
      </c>
      <c r="D47" s="438">
        <v>6</v>
      </c>
      <c r="E47" s="163">
        <f t="shared" si="7"/>
        <v>55</v>
      </c>
      <c r="F47" s="439">
        <f>'III rok'!Z19</f>
        <v>15</v>
      </c>
      <c r="G47" s="439">
        <f>'III rok'!AA19</f>
        <v>15</v>
      </c>
      <c r="H47" s="439">
        <f>'III rok'!AB19</f>
        <v>25</v>
      </c>
      <c r="I47" s="439">
        <f>'III rok'!AC19</f>
        <v>0</v>
      </c>
      <c r="J47" s="439">
        <f>'III rok'!AD19</f>
        <v>75</v>
      </c>
      <c r="K47" s="439">
        <f>'III rok'!AE19</f>
        <v>3</v>
      </c>
    </row>
    <row r="48" spans="1:11" ht="15.75">
      <c r="A48" s="420">
        <v>5.9</v>
      </c>
      <c r="B48" s="68" t="s">
        <v>58</v>
      </c>
      <c r="C48" s="437" t="str">
        <f>"0912-7LEK-C"&amp;A48&amp;"-"&amp;UPPER(LEFT(B48,1))&amp;"Z"</f>
        <v>0912-7LEK-C5,9-CZ</v>
      </c>
      <c r="D48" s="438" t="s">
        <v>143</v>
      </c>
      <c r="E48" s="163">
        <f t="shared" si="7"/>
        <v>50</v>
      </c>
      <c r="F48" s="439">
        <f>'IV rok'!Z16</f>
        <v>20</v>
      </c>
      <c r="G48" s="439">
        <f>'IV rok'!AA16</f>
        <v>15</v>
      </c>
      <c r="H48" s="439">
        <f>'IV rok'!AB16</f>
        <v>15</v>
      </c>
      <c r="I48" s="439">
        <f>'IV rok'!AC16</f>
        <v>0</v>
      </c>
      <c r="J48" s="439">
        <f>'IV rok'!AD16</f>
        <v>75</v>
      </c>
      <c r="K48" s="439">
        <f>'IV rok'!AE16</f>
        <v>3</v>
      </c>
    </row>
    <row r="49" spans="1:11" ht="15.75">
      <c r="A49" s="407">
        <v>5.0999999999999996</v>
      </c>
      <c r="B49" s="68" t="s">
        <v>59</v>
      </c>
      <c r="C49" s="437" t="str">
        <f t="shared" si="8"/>
        <v>0912-7LEK-C5,1-R</v>
      </c>
      <c r="D49" s="438">
        <v>7</v>
      </c>
      <c r="E49" s="163">
        <f t="shared" si="7"/>
        <v>50</v>
      </c>
      <c r="F49" s="439">
        <f>'IV rok'!Z17</f>
        <v>15</v>
      </c>
      <c r="G49" s="439">
        <f>'IV rok'!AA17</f>
        <v>15</v>
      </c>
      <c r="H49" s="439">
        <f>'IV rok'!AB17</f>
        <v>20</v>
      </c>
      <c r="I49" s="439">
        <f>'IV rok'!AC17</f>
        <v>0</v>
      </c>
      <c r="J49" s="439">
        <f>'IV rok'!AD17</f>
        <v>75</v>
      </c>
      <c r="K49" s="439">
        <f>'IV rok'!AE17</f>
        <v>3</v>
      </c>
    </row>
    <row r="50" spans="1:11" ht="15.75">
      <c r="A50" s="407">
        <v>5.1100000000000003</v>
      </c>
      <c r="B50" s="68" t="s">
        <v>60</v>
      </c>
      <c r="C50" s="437" t="str">
        <f>"0912-7LEK-C"&amp;A50&amp;"-"&amp;UPPER(LEFT(B50,1))&amp;"L"</f>
        <v>0912-7LEK-C5,11-DL</v>
      </c>
      <c r="D50" s="438" t="s">
        <v>141</v>
      </c>
      <c r="E50" s="163">
        <f t="shared" si="7"/>
        <v>55</v>
      </c>
      <c r="F50" s="439">
        <f>'III rok'!Z20</f>
        <v>15</v>
      </c>
      <c r="G50" s="439">
        <f>'III rok'!AA20</f>
        <v>40</v>
      </c>
      <c r="H50" s="439">
        <f>'III rok'!AB20</f>
        <v>0</v>
      </c>
      <c r="I50" s="439">
        <f>'III rok'!AC20</f>
        <v>0</v>
      </c>
      <c r="J50" s="439">
        <f>'III rok'!AD20</f>
        <v>100</v>
      </c>
      <c r="K50" s="439">
        <f>'III rok'!AE20</f>
        <v>4</v>
      </c>
    </row>
    <row r="51" spans="1:11" ht="15.75">
      <c r="A51" s="407">
        <v>5.12</v>
      </c>
      <c r="B51" s="68" t="s">
        <v>61</v>
      </c>
      <c r="C51" s="437" t="str">
        <f>"0912-7LEK-C"&amp;A51&amp;"-"&amp;UPPER(LEFT(B51,1))&amp;"K"</f>
        <v>0912-7LEK-C5,12-FK</v>
      </c>
      <c r="D51" s="438" t="s">
        <v>140</v>
      </c>
      <c r="E51" s="163">
        <f t="shared" si="7"/>
        <v>65</v>
      </c>
      <c r="F51" s="439">
        <f>'IV rok'!Z18</f>
        <v>30</v>
      </c>
      <c r="G51" s="439">
        <f>'IV rok'!AA18</f>
        <v>35</v>
      </c>
      <c r="H51" s="439">
        <f>'IV rok'!AB18</f>
        <v>0</v>
      </c>
      <c r="I51" s="439">
        <f>'IV rok'!AC18</f>
        <v>0</v>
      </c>
      <c r="J51" s="439">
        <f>'IV rok'!AD18</f>
        <v>100</v>
      </c>
      <c r="K51" s="439">
        <f>'IV rok'!AE18</f>
        <v>4</v>
      </c>
    </row>
    <row r="52" spans="1:11">
      <c r="A52" s="774" t="s">
        <v>9</v>
      </c>
      <c r="B52" s="775"/>
      <c r="C52" s="775"/>
      <c r="D52" s="776"/>
      <c r="E52" s="441">
        <f t="shared" ref="E52:K52" si="9">SUM(E39:E51)</f>
        <v>1060</v>
      </c>
      <c r="F52" s="441">
        <f t="shared" si="9"/>
        <v>325</v>
      </c>
      <c r="G52" s="441">
        <f t="shared" si="9"/>
        <v>355</v>
      </c>
      <c r="H52" s="441">
        <f t="shared" si="9"/>
        <v>380</v>
      </c>
      <c r="I52" s="441">
        <f t="shared" si="9"/>
        <v>0</v>
      </c>
      <c r="J52" s="441">
        <f t="shared" si="9"/>
        <v>1625</v>
      </c>
      <c r="K52" s="441">
        <f t="shared" si="9"/>
        <v>65</v>
      </c>
    </row>
    <row r="53" spans="1:11">
      <c r="A53" s="771" t="s">
        <v>394</v>
      </c>
      <c r="B53" s="772"/>
      <c r="C53" s="772"/>
      <c r="D53" s="772"/>
      <c r="E53" s="772"/>
      <c r="F53" s="772"/>
      <c r="G53" s="772"/>
      <c r="H53" s="772"/>
      <c r="I53" s="772"/>
      <c r="J53" s="772"/>
      <c r="K53" s="773"/>
    </row>
    <row r="54" spans="1:11" ht="15.75">
      <c r="A54" s="414">
        <v>6.1</v>
      </c>
      <c r="B54" s="91" t="s">
        <v>62</v>
      </c>
      <c r="C54" s="161" t="str">
        <f>"0912-7LEK-C"&amp;A54&amp;"-"&amp;UPPER(LEFT(B54,1))&amp;"iIT"</f>
        <v>0912-7LEK-C6,1-AiIT</v>
      </c>
      <c r="D54" s="162" t="s">
        <v>236</v>
      </c>
      <c r="E54" s="163">
        <f>SUM(F54:I54)</f>
        <v>95</v>
      </c>
      <c r="F54" s="163">
        <f>'IV rok'!Z21</f>
        <v>30</v>
      </c>
      <c r="G54" s="163">
        <f>'IV rok'!AA21</f>
        <v>30</v>
      </c>
      <c r="H54" s="163">
        <f>'IV rok'!AB21</f>
        <v>35</v>
      </c>
      <c r="I54" s="163">
        <f>'IV rok'!AC21</f>
        <v>0</v>
      </c>
      <c r="J54" s="163">
        <f>'IV rok'!AD21</f>
        <v>125</v>
      </c>
      <c r="K54" s="163">
        <f>'IV rok'!AE21</f>
        <v>5</v>
      </c>
    </row>
    <row r="55" spans="1:11" ht="15.75">
      <c r="A55" s="420">
        <v>6.2</v>
      </c>
      <c r="B55" s="68" t="s">
        <v>63</v>
      </c>
      <c r="C55" s="161" t="str">
        <f>"0912-7LEK-C"&amp;A55&amp;"-"&amp;UPPER(LEFT(B55,1))&amp;""</f>
        <v>0912-7LEK-C6,2-C</v>
      </c>
      <c r="D55" s="438" t="s">
        <v>237</v>
      </c>
      <c r="E55" s="163">
        <f t="shared" ref="E55:E66" si="10">SUM(F55:I55)</f>
        <v>255</v>
      </c>
      <c r="F55" s="439">
        <f>'III rok'!Z23+'IV rok'!Z22+'V rok'!Z20</f>
        <v>90</v>
      </c>
      <c r="G55" s="439">
        <f>'III rok'!AA23+'IV rok'!AA22+'V rok'!AA20</f>
        <v>90</v>
      </c>
      <c r="H55" s="439">
        <f>'III rok'!AB23+'IV rok'!AB22+'V rok'!AB20</f>
        <v>75</v>
      </c>
      <c r="I55" s="439">
        <f>'III rok'!AC23+'IV rok'!AC22+'V rok'!AC20</f>
        <v>0</v>
      </c>
      <c r="J55" s="439">
        <f>'III rok'!AD23+'IV rok'!AD22+'V rok'!AD20</f>
        <v>375</v>
      </c>
      <c r="K55" s="439">
        <f>'III rok'!AE23+'IV rok'!AE22+'V rok'!AE20</f>
        <v>15</v>
      </c>
    </row>
    <row r="56" spans="1:11" ht="15.75">
      <c r="A56" s="420">
        <v>6.3</v>
      </c>
      <c r="B56" s="68" t="s">
        <v>64</v>
      </c>
      <c r="C56" s="161" t="str">
        <f>"0912-7LEK-C"&amp;A56&amp;"-"&amp;UPPER(LEFT(B56,1))&amp;"D"</f>
        <v>0912-7LEK-C6,3-CD</v>
      </c>
      <c r="D56" s="438">
        <v>9</v>
      </c>
      <c r="E56" s="163">
        <f t="shared" si="10"/>
        <v>55</v>
      </c>
      <c r="F56" s="439">
        <f>'V rok'!Z21</f>
        <v>15</v>
      </c>
      <c r="G56" s="439">
        <f>'V rok'!AA21</f>
        <v>15</v>
      </c>
      <c r="H56" s="439">
        <f>'V rok'!AB21</f>
        <v>25</v>
      </c>
      <c r="I56" s="439">
        <f>'V rok'!AC21</f>
        <v>0</v>
      </c>
      <c r="J56" s="439">
        <f>'V rok'!AD21</f>
        <v>75</v>
      </c>
      <c r="K56" s="439">
        <f>'V rok'!AE21</f>
        <v>3</v>
      </c>
    </row>
    <row r="57" spans="1:11" ht="15.75">
      <c r="A57" s="420">
        <v>6.4</v>
      </c>
      <c r="B57" s="68" t="s">
        <v>65</v>
      </c>
      <c r="C57" s="161" t="str">
        <f>"0912-7LEK-C"&amp;A57&amp;"-"&amp;UPPER(LEFT(B57,1))&amp;"iT"</f>
        <v>0912-7LEK-C6,4-OiT</v>
      </c>
      <c r="D57" s="438" t="s">
        <v>125</v>
      </c>
      <c r="E57" s="163">
        <f t="shared" si="10"/>
        <v>55</v>
      </c>
      <c r="F57" s="439">
        <f>'V rok'!Z22</f>
        <v>15</v>
      </c>
      <c r="G57" s="439">
        <f>'V rok'!AA22</f>
        <v>15</v>
      </c>
      <c r="H57" s="439">
        <f>'V rok'!AB22</f>
        <v>25</v>
      </c>
      <c r="I57" s="439">
        <f>'V rok'!AC22</f>
        <v>0</v>
      </c>
      <c r="J57" s="439">
        <f>'V rok'!AD22</f>
        <v>75</v>
      </c>
      <c r="K57" s="439">
        <f>'V rok'!AE22</f>
        <v>3</v>
      </c>
    </row>
    <row r="58" spans="1:11" ht="15.75">
      <c r="A58" s="420">
        <v>6.5</v>
      </c>
      <c r="B58" s="68" t="s">
        <v>66</v>
      </c>
      <c r="C58" s="161" t="str">
        <f>"0912-7LEK-C"&amp;A58&amp;"-"&amp;UPPER(LEFT(B58,1))&amp;"O"</f>
        <v>0912-7LEK-C6,5-CO</v>
      </c>
      <c r="D58" s="438" t="s">
        <v>125</v>
      </c>
      <c r="E58" s="163">
        <f t="shared" si="10"/>
        <v>45</v>
      </c>
      <c r="F58" s="439">
        <f>'V rok'!Z23</f>
        <v>15</v>
      </c>
      <c r="G58" s="439">
        <f>'V rok'!AA23</f>
        <v>10</v>
      </c>
      <c r="H58" s="439">
        <f>'V rok'!AB23</f>
        <v>20</v>
      </c>
      <c r="I58" s="439">
        <f>'V rok'!AC23</f>
        <v>0</v>
      </c>
      <c r="J58" s="439">
        <f>'V rok'!AD23</f>
        <v>50</v>
      </c>
      <c r="K58" s="439">
        <f>'V rok'!AE23</f>
        <v>2</v>
      </c>
    </row>
    <row r="59" spans="1:11" ht="15.75">
      <c r="A59" s="420">
        <v>6.6</v>
      </c>
      <c r="B59" s="447" t="s">
        <v>67</v>
      </c>
      <c r="C59" s="161" t="str">
        <f>"0912-7LEK-C"&amp;A59&amp;"-"&amp;UPPER(LEFT(B59,1))&amp;""</f>
        <v>0912-7LEK-C6,6-U</v>
      </c>
      <c r="D59" s="438">
        <v>10</v>
      </c>
      <c r="E59" s="163">
        <f t="shared" si="10"/>
        <v>45</v>
      </c>
      <c r="F59" s="439">
        <f>'V rok'!Z24</f>
        <v>15</v>
      </c>
      <c r="G59" s="439">
        <f>'V rok'!AA24</f>
        <v>15</v>
      </c>
      <c r="H59" s="439">
        <f>'V rok'!AB24</f>
        <v>15</v>
      </c>
      <c r="I59" s="439">
        <f>'V rok'!AC24</f>
        <v>0</v>
      </c>
      <c r="J59" s="439">
        <f>'V rok'!AD24</f>
        <v>75</v>
      </c>
      <c r="K59" s="439">
        <f>'V rok'!AE24</f>
        <v>3</v>
      </c>
    </row>
    <row r="60" spans="1:11" ht="15.75">
      <c r="A60" s="420">
        <v>6.7</v>
      </c>
      <c r="B60" s="447" t="s">
        <v>68</v>
      </c>
      <c r="C60" s="161" t="str">
        <f>"0912-7LEK-C"&amp;A60&amp;"-"&amp;UPPER(LEFT(B60,1))&amp;""</f>
        <v>0912-7LEK-C6,7-O</v>
      </c>
      <c r="D60" s="438">
        <v>9</v>
      </c>
      <c r="E60" s="163">
        <f t="shared" si="10"/>
        <v>45</v>
      </c>
      <c r="F60" s="439">
        <f>'V rok'!Z25</f>
        <v>15</v>
      </c>
      <c r="G60" s="439">
        <f>'V rok'!AA25</f>
        <v>15</v>
      </c>
      <c r="H60" s="439">
        <f>'V rok'!AB25</f>
        <v>15</v>
      </c>
      <c r="I60" s="439">
        <f>'V rok'!AC25</f>
        <v>0</v>
      </c>
      <c r="J60" s="439">
        <f>'V rok'!AD25</f>
        <v>75</v>
      </c>
      <c r="K60" s="439">
        <f>'V rok'!AE25</f>
        <v>3</v>
      </c>
    </row>
    <row r="61" spans="1:11" ht="28.5" customHeight="1">
      <c r="A61" s="420">
        <v>6.8</v>
      </c>
      <c r="B61" s="448" t="s">
        <v>69</v>
      </c>
      <c r="C61" s="161" t="str">
        <f>"0912-7LEK-C"&amp;A61&amp;"-"&amp;UPPER(LEFT(B61,1))&amp;"R"</f>
        <v>0912-7LEK-C6,8-MR</v>
      </c>
      <c r="D61" s="438">
        <v>10</v>
      </c>
      <c r="E61" s="163">
        <f t="shared" si="10"/>
        <v>40</v>
      </c>
      <c r="F61" s="439">
        <f>'V rok'!Z26</f>
        <v>15</v>
      </c>
      <c r="G61" s="439">
        <f>'V rok'!AA26</f>
        <v>10</v>
      </c>
      <c r="H61" s="439">
        <f>'V rok'!AB26</f>
        <v>15</v>
      </c>
      <c r="I61" s="439">
        <f>'V rok'!AC26</f>
        <v>0</v>
      </c>
      <c r="J61" s="439">
        <f>'V rok'!AD26</f>
        <v>50</v>
      </c>
      <c r="K61" s="439">
        <f>'V rok'!AE26</f>
        <v>2</v>
      </c>
    </row>
    <row r="62" spans="1:11" ht="15.75">
      <c r="A62" s="420">
        <v>6.9</v>
      </c>
      <c r="B62" s="447" t="s">
        <v>70</v>
      </c>
      <c r="C62" s="161" t="str">
        <f>"0912-7LEK-C"&amp;A62&amp;"-"&amp;UPPER(LEFT(B62,1))&amp;"iP"</f>
        <v>0912-7LEK-C6,9-GiP</v>
      </c>
      <c r="D62" s="438" t="s">
        <v>238</v>
      </c>
      <c r="E62" s="163">
        <f t="shared" si="10"/>
        <v>110</v>
      </c>
      <c r="F62" s="439">
        <f>'V rok'!Z27</f>
        <v>30</v>
      </c>
      <c r="G62" s="439">
        <f>'V rok'!AA27</f>
        <v>35</v>
      </c>
      <c r="H62" s="439">
        <f>'V rok'!AB27</f>
        <v>45</v>
      </c>
      <c r="I62" s="439">
        <f>'V rok'!AC27</f>
        <v>0</v>
      </c>
      <c r="J62" s="439">
        <f>'V rok'!AD27</f>
        <v>150</v>
      </c>
      <c r="K62" s="439">
        <f>'V rok'!AE27</f>
        <v>6</v>
      </c>
    </row>
    <row r="63" spans="1:11" ht="15.75">
      <c r="A63" s="407">
        <v>6.1</v>
      </c>
      <c r="B63" s="447" t="s">
        <v>71</v>
      </c>
      <c r="C63" s="161" t="str">
        <f>"0912-7LEK-C"&amp;A63&amp;"-"&amp;UPPER(LEFT(B63,1))&amp;""</f>
        <v>0912-7LEK-C6,1-O</v>
      </c>
      <c r="D63" s="438">
        <v>10</v>
      </c>
      <c r="E63" s="163">
        <f t="shared" si="10"/>
        <v>40</v>
      </c>
      <c r="F63" s="439">
        <f>'V rok'!Z28</f>
        <v>15</v>
      </c>
      <c r="G63" s="439">
        <f>'V rok'!AA28</f>
        <v>10</v>
      </c>
      <c r="H63" s="439">
        <f>'V rok'!AB28</f>
        <v>15</v>
      </c>
      <c r="I63" s="439">
        <f>'V rok'!AC28</f>
        <v>0</v>
      </c>
      <c r="J63" s="439">
        <f>'V rok'!AD28</f>
        <v>50</v>
      </c>
      <c r="K63" s="439">
        <f>'V rok'!AE28</f>
        <v>2</v>
      </c>
    </row>
    <row r="64" spans="1:11" ht="15.75">
      <c r="A64" s="407">
        <v>6.11</v>
      </c>
      <c r="B64" s="447" t="s">
        <v>72</v>
      </c>
      <c r="C64" s="161" t="str">
        <f>"0912-7LEK-C"&amp;A64&amp;"-"&amp;UPPER(LEFT(B64,1))&amp;""</f>
        <v>0912-7LEK-C6,11-N</v>
      </c>
      <c r="D64" s="438">
        <v>10</v>
      </c>
      <c r="E64" s="163">
        <f t="shared" si="10"/>
        <v>45</v>
      </c>
      <c r="F64" s="439">
        <f>'V rok'!Z29</f>
        <v>15</v>
      </c>
      <c r="G64" s="439">
        <f>'V rok'!AA29</f>
        <v>15</v>
      </c>
      <c r="H64" s="439">
        <f>'V rok'!AB29</f>
        <v>15</v>
      </c>
      <c r="I64" s="439">
        <f>'V rok'!AC29</f>
        <v>0</v>
      </c>
      <c r="J64" s="439">
        <f>'V rok'!AD29</f>
        <v>50</v>
      </c>
      <c r="K64" s="439">
        <f>'V rok'!AE29</f>
        <v>2</v>
      </c>
    </row>
    <row r="65" spans="1:11" ht="15.75">
      <c r="A65" s="407">
        <v>6.12</v>
      </c>
      <c r="B65" s="447" t="s">
        <v>73</v>
      </c>
      <c r="C65" s="161" t="str">
        <f>"0912-7LEK-C"&amp;A65&amp;"-"&amp;UPPER(LEFT(B65,1))&amp;""</f>
        <v>0912-7LEK-C6,12-T</v>
      </c>
      <c r="D65" s="438" t="s">
        <v>140</v>
      </c>
      <c r="E65" s="163">
        <f t="shared" si="10"/>
        <v>15</v>
      </c>
      <c r="F65" s="439">
        <f>'IV rok'!Z23</f>
        <v>15</v>
      </c>
      <c r="G65" s="439">
        <f>'IV rok'!AA23</f>
        <v>0</v>
      </c>
      <c r="H65" s="439">
        <f>'IV rok'!AB23</f>
        <v>0</v>
      </c>
      <c r="I65" s="439">
        <f>'IV rok'!AC23</f>
        <v>0</v>
      </c>
      <c r="J65" s="439">
        <f>'IV rok'!AD23</f>
        <v>25</v>
      </c>
      <c r="K65" s="439">
        <f>'IV rok'!AE23</f>
        <v>1</v>
      </c>
    </row>
    <row r="66" spans="1:11" ht="15.75">
      <c r="A66" s="407">
        <v>6.13</v>
      </c>
      <c r="B66" s="447" t="s">
        <v>74</v>
      </c>
      <c r="C66" s="161" t="str">
        <f>"0912-7LEK-C"&amp;A66&amp;"-"&amp;UPPER(LEFT(B66,1))&amp;"O"</f>
        <v>0912-7LEK-C6,13-DO</v>
      </c>
      <c r="D66" s="438">
        <v>8</v>
      </c>
      <c r="E66" s="163">
        <f t="shared" si="10"/>
        <v>55</v>
      </c>
      <c r="F66" s="439">
        <f>'IV rok'!Z24</f>
        <v>15</v>
      </c>
      <c r="G66" s="439">
        <f>'IV rok'!AA24</f>
        <v>15</v>
      </c>
      <c r="H66" s="439">
        <f>'IV rok'!AB24</f>
        <v>25</v>
      </c>
      <c r="I66" s="439">
        <f>'IV rok'!AC24</f>
        <v>0</v>
      </c>
      <c r="J66" s="439">
        <f>'IV rok'!AD24</f>
        <v>75</v>
      </c>
      <c r="K66" s="439">
        <f>'IV rok'!AE24</f>
        <v>3</v>
      </c>
    </row>
    <row r="67" spans="1:11">
      <c r="A67" s="774" t="s">
        <v>9</v>
      </c>
      <c r="B67" s="775"/>
      <c r="C67" s="775"/>
      <c r="D67" s="776"/>
      <c r="E67" s="441">
        <f t="shared" ref="E67:K67" si="11">SUM(E54:E66)</f>
        <v>900</v>
      </c>
      <c r="F67" s="441">
        <f t="shared" si="11"/>
        <v>300</v>
      </c>
      <c r="G67" s="441">
        <f t="shared" si="11"/>
        <v>275</v>
      </c>
      <c r="H67" s="441">
        <f t="shared" si="11"/>
        <v>325</v>
      </c>
      <c r="I67" s="441">
        <f t="shared" si="11"/>
        <v>0</v>
      </c>
      <c r="J67" s="441">
        <f t="shared" si="11"/>
        <v>1250</v>
      </c>
      <c r="K67" s="441">
        <f t="shared" si="11"/>
        <v>50</v>
      </c>
    </row>
    <row r="68" spans="1:11" s="95" customFormat="1">
      <c r="A68" s="771" t="s">
        <v>392</v>
      </c>
      <c r="B68" s="772"/>
      <c r="C68" s="772"/>
      <c r="D68" s="772"/>
      <c r="E68" s="772"/>
      <c r="F68" s="772"/>
      <c r="G68" s="772"/>
      <c r="H68" s="772"/>
      <c r="I68" s="772"/>
      <c r="J68" s="772"/>
      <c r="K68" s="773"/>
    </row>
    <row r="69" spans="1:11" ht="15.75">
      <c r="A69" s="414">
        <v>7.1</v>
      </c>
      <c r="B69" s="449" t="s">
        <v>75</v>
      </c>
      <c r="C69" s="161" t="str">
        <f>"0912-7LEK-C"&amp;A69&amp;"-"&amp;UPPER(LEFT(B69,1))</f>
        <v>0912-7LEK-C7,1-H</v>
      </c>
      <c r="D69" s="162" t="s">
        <v>234</v>
      </c>
      <c r="E69" s="163">
        <f>SUM(F69:I69)</f>
        <v>15</v>
      </c>
      <c r="F69" s="163">
        <f>'II rok'!Z27</f>
        <v>15</v>
      </c>
      <c r="G69" s="163">
        <f>'II rok'!AA27</f>
        <v>0</v>
      </c>
      <c r="H69" s="163">
        <f>'II rok'!AB27</f>
        <v>0</v>
      </c>
      <c r="I69" s="163">
        <f>'II rok'!AC27</f>
        <v>0</v>
      </c>
      <c r="J69" s="163">
        <f>'II rok'!AD27</f>
        <v>25</v>
      </c>
      <c r="K69" s="163">
        <f>'II rok'!AE27</f>
        <v>1</v>
      </c>
    </row>
    <row r="70" spans="1:11" ht="15.75">
      <c r="A70" s="420">
        <v>7.2</v>
      </c>
      <c r="B70" s="447" t="s">
        <v>76</v>
      </c>
      <c r="C70" s="437" t="str">
        <f>"0912-7LEK-C"&amp;A70&amp;"-"&amp;UPPER(LEFT(B70,1))</f>
        <v>0912-7LEK-C7,2-E</v>
      </c>
      <c r="D70" s="438" t="s">
        <v>234</v>
      </c>
      <c r="E70" s="163">
        <f>SUM(F70:I70)</f>
        <v>15</v>
      </c>
      <c r="F70" s="163">
        <f>'II rok'!Z28</f>
        <v>15</v>
      </c>
      <c r="G70" s="163">
        <f>'II rok'!AA28</f>
        <v>0</v>
      </c>
      <c r="H70" s="163">
        <f>'II rok'!AB28</f>
        <v>0</v>
      </c>
      <c r="I70" s="163">
        <f>'II rok'!AC28</f>
        <v>0</v>
      </c>
      <c r="J70" s="163">
        <f>'II rok'!AD28</f>
        <v>25</v>
      </c>
      <c r="K70" s="163">
        <f>'II rok'!AE28</f>
        <v>1</v>
      </c>
    </row>
    <row r="71" spans="1:11" ht="15.75">
      <c r="A71" s="420">
        <v>7.3</v>
      </c>
      <c r="B71" s="447" t="s">
        <v>77</v>
      </c>
      <c r="C71" s="437" t="str">
        <f>"0912-7LEK-C"&amp;A71&amp;"-"&amp;UPPER(LEFT(B71,1))</f>
        <v>0912-7LEK-C7,3-Z</v>
      </c>
      <c r="D71" s="438" t="s">
        <v>139</v>
      </c>
      <c r="E71" s="163">
        <f>SUM(F71:I71)</f>
        <v>15</v>
      </c>
      <c r="F71" s="163">
        <f>'II rok'!Z29</f>
        <v>15</v>
      </c>
      <c r="G71" s="163">
        <f>'II rok'!AA29</f>
        <v>0</v>
      </c>
      <c r="H71" s="163">
        <f>'II rok'!AB29</f>
        <v>0</v>
      </c>
      <c r="I71" s="163">
        <f>'II rok'!AC29</f>
        <v>0</v>
      </c>
      <c r="J71" s="163">
        <f>'II rok'!AD29</f>
        <v>25</v>
      </c>
      <c r="K71" s="163">
        <f>'II rok'!AE29</f>
        <v>1</v>
      </c>
    </row>
    <row r="72" spans="1:11" ht="15.75">
      <c r="A72" s="420">
        <v>7.4</v>
      </c>
      <c r="B72" s="447" t="s">
        <v>78</v>
      </c>
      <c r="C72" s="437" t="str">
        <f>"0912-7LEK-C"&amp;A72&amp;"-"&amp;UPPER(LEFT(B72,1))</f>
        <v>0912-7LEK-C7,4-P</v>
      </c>
      <c r="D72" s="438" t="s">
        <v>125</v>
      </c>
      <c r="E72" s="163">
        <f>SUM(F72:I72)</f>
        <v>15</v>
      </c>
      <c r="F72" s="439">
        <f>'V rok'!Z32</f>
        <v>15</v>
      </c>
      <c r="G72" s="439">
        <f>'V rok'!AA32</f>
        <v>0</v>
      </c>
      <c r="H72" s="439">
        <f>'V rok'!AB32</f>
        <v>0</v>
      </c>
      <c r="I72" s="439">
        <f>'V rok'!AC32</f>
        <v>0</v>
      </c>
      <c r="J72" s="439">
        <f>'V rok'!AD32</f>
        <v>25</v>
      </c>
      <c r="K72" s="439">
        <f>'V rok'!AE32</f>
        <v>1</v>
      </c>
    </row>
    <row r="73" spans="1:11" ht="15.75">
      <c r="A73" s="420">
        <v>7.5</v>
      </c>
      <c r="B73" s="447" t="s">
        <v>79</v>
      </c>
      <c r="C73" s="437" t="str">
        <f>"0912-7LEK-C"&amp;A73&amp;"-"&amp;UPPER(LEFT(B73,1))</f>
        <v>0912-7LEK-C7,5-M</v>
      </c>
      <c r="D73" s="438">
        <v>10</v>
      </c>
      <c r="E73" s="163">
        <f>SUM(F73:I73)</f>
        <v>40</v>
      </c>
      <c r="F73" s="439">
        <f>'V rok'!Z33</f>
        <v>20</v>
      </c>
      <c r="G73" s="439">
        <f>'V rok'!AA33</f>
        <v>15</v>
      </c>
      <c r="H73" s="439">
        <f>'V rok'!AB33</f>
        <v>5</v>
      </c>
      <c r="I73" s="439">
        <f>'V rok'!AC33</f>
        <v>0</v>
      </c>
      <c r="J73" s="439">
        <f>'V rok'!AD33</f>
        <v>50</v>
      </c>
      <c r="K73" s="439">
        <f>'V rok'!AE33</f>
        <v>2</v>
      </c>
    </row>
    <row r="74" spans="1:11">
      <c r="A74" s="774" t="s">
        <v>9</v>
      </c>
      <c r="B74" s="775"/>
      <c r="C74" s="775"/>
      <c r="D74" s="776"/>
      <c r="E74" s="441">
        <f t="shared" ref="E74:K74" si="12">SUM(E69:E73)</f>
        <v>100</v>
      </c>
      <c r="F74" s="441">
        <f t="shared" si="12"/>
        <v>80</v>
      </c>
      <c r="G74" s="441">
        <f t="shared" si="12"/>
        <v>15</v>
      </c>
      <c r="H74" s="441">
        <f t="shared" si="12"/>
        <v>5</v>
      </c>
      <c r="I74" s="441">
        <f t="shared" si="12"/>
        <v>0</v>
      </c>
      <c r="J74" s="441">
        <f>SUM(J69:J73)</f>
        <v>150</v>
      </c>
      <c r="K74" s="441">
        <f t="shared" si="12"/>
        <v>6</v>
      </c>
    </row>
    <row r="75" spans="1:11">
      <c r="A75" s="771" t="s">
        <v>396</v>
      </c>
      <c r="B75" s="772"/>
      <c r="C75" s="772"/>
      <c r="D75" s="772"/>
      <c r="E75" s="772"/>
      <c r="F75" s="772"/>
      <c r="G75" s="772"/>
      <c r="H75" s="772"/>
      <c r="I75" s="772"/>
      <c r="J75" s="772"/>
      <c r="K75" s="773"/>
    </row>
    <row r="76" spans="1:11" ht="15.75">
      <c r="A76" s="414">
        <v>8.1</v>
      </c>
      <c r="B76" s="449" t="s">
        <v>80</v>
      </c>
      <c r="C76" s="161" t="str">
        <f>"0912-7LEK-C"&amp;A76&amp;"-"&amp;UPPER(LEFT(B76,1))</f>
        <v>0912-7LEK-C8,1-C</v>
      </c>
      <c r="D76" s="162" t="s">
        <v>129</v>
      </c>
      <c r="E76" s="163">
        <f>SUM(F76:I76)</f>
        <v>240</v>
      </c>
      <c r="F76" s="163">
        <f>'VI rok'!Z11</f>
        <v>0</v>
      </c>
      <c r="G76" s="163">
        <f>'VI rok'!AA11</f>
        <v>0</v>
      </c>
      <c r="H76" s="163">
        <f>'VI rok'!AB11</f>
        <v>240</v>
      </c>
      <c r="I76" s="163">
        <f>'VI rok'!AC11</f>
        <v>0</v>
      </c>
      <c r="J76" s="163">
        <f>'VI rok'!AD11</f>
        <v>400</v>
      </c>
      <c r="K76" s="163">
        <f>'VI rok'!AE11</f>
        <v>16</v>
      </c>
    </row>
    <row r="77" spans="1:11" ht="15.75">
      <c r="A77" s="420">
        <v>8.1999999999999993</v>
      </c>
      <c r="B77" s="447" t="s">
        <v>51</v>
      </c>
      <c r="C77" s="437" t="str">
        <f t="shared" ref="C77:C83" si="13">"0912-7LEK-C"&amp;A77&amp;"-"&amp;UPPER(LEFT(B77,1))</f>
        <v>0912-7LEK-C8,2-P</v>
      </c>
      <c r="D77" s="438" t="s">
        <v>129</v>
      </c>
      <c r="E77" s="163">
        <f t="shared" ref="E77:E83" si="14">SUM(F77:I77)</f>
        <v>120</v>
      </c>
      <c r="F77" s="163">
        <f>'VI rok'!Z12</f>
        <v>0</v>
      </c>
      <c r="G77" s="163">
        <f>'VI rok'!AA12</f>
        <v>0</v>
      </c>
      <c r="H77" s="163">
        <f>'VI rok'!AB12</f>
        <v>120</v>
      </c>
      <c r="I77" s="163">
        <f>'VI rok'!AC12</f>
        <v>0</v>
      </c>
      <c r="J77" s="163">
        <f>'VI rok'!AD12</f>
        <v>200</v>
      </c>
      <c r="K77" s="163">
        <f>'VI rok'!AE12</f>
        <v>8</v>
      </c>
    </row>
    <row r="78" spans="1:11" ht="15.75">
      <c r="A78" s="420">
        <v>8.3000000000000007</v>
      </c>
      <c r="B78" s="447" t="s">
        <v>81</v>
      </c>
      <c r="C78" s="437" t="str">
        <f t="shared" si="13"/>
        <v>0912-7LEK-C8,3-C</v>
      </c>
      <c r="D78" s="438" t="s">
        <v>241</v>
      </c>
      <c r="E78" s="163">
        <f t="shared" si="14"/>
        <v>120</v>
      </c>
      <c r="F78" s="163">
        <f>'VI rok'!Z13</f>
        <v>0</v>
      </c>
      <c r="G78" s="163">
        <f>'VI rok'!AA13</f>
        <v>0</v>
      </c>
      <c r="H78" s="163">
        <f>'VI rok'!AB13</f>
        <v>120</v>
      </c>
      <c r="I78" s="163">
        <f>'VI rok'!AC13</f>
        <v>0</v>
      </c>
      <c r="J78" s="163">
        <f>'VI rok'!AD13</f>
        <v>200</v>
      </c>
      <c r="K78" s="163">
        <f>'VI rok'!AE13</f>
        <v>8</v>
      </c>
    </row>
    <row r="79" spans="1:11" ht="15.75">
      <c r="A79" s="420">
        <v>8.4</v>
      </c>
      <c r="B79" s="447" t="s">
        <v>70</v>
      </c>
      <c r="C79" s="437" t="str">
        <f t="shared" si="13"/>
        <v>0912-7LEK-C8,4-G</v>
      </c>
      <c r="D79" s="438" t="s">
        <v>130</v>
      </c>
      <c r="E79" s="163">
        <f t="shared" si="14"/>
        <v>60</v>
      </c>
      <c r="F79" s="163">
        <f>'VI rok'!Z14</f>
        <v>0</v>
      </c>
      <c r="G79" s="163">
        <f>'VI rok'!AA14</f>
        <v>0</v>
      </c>
      <c r="H79" s="163">
        <f>'VI rok'!AB14</f>
        <v>60</v>
      </c>
      <c r="I79" s="163">
        <f>'VI rok'!AC14</f>
        <v>0</v>
      </c>
      <c r="J79" s="163">
        <f>'VI rok'!AD14</f>
        <v>100</v>
      </c>
      <c r="K79" s="163">
        <f>'VI rok'!AE14</f>
        <v>4</v>
      </c>
    </row>
    <row r="80" spans="1:11" ht="15.75">
      <c r="A80" s="420">
        <v>8.5</v>
      </c>
      <c r="B80" s="447" t="s">
        <v>54</v>
      </c>
      <c r="C80" s="437" t="str">
        <f t="shared" si="13"/>
        <v>0912-7LEK-C8,5-P</v>
      </c>
      <c r="D80" s="438" t="s">
        <v>129</v>
      </c>
      <c r="E80" s="163">
        <f t="shared" si="14"/>
        <v>60</v>
      </c>
      <c r="F80" s="163">
        <f>'VI rok'!Z15</f>
        <v>0</v>
      </c>
      <c r="G80" s="163">
        <f>'VI rok'!AA15</f>
        <v>0</v>
      </c>
      <c r="H80" s="163">
        <f>'VI rok'!AB15</f>
        <v>60</v>
      </c>
      <c r="I80" s="163">
        <f>'VI rok'!AC15</f>
        <v>0</v>
      </c>
      <c r="J80" s="163">
        <f>'VI rok'!AD15</f>
        <v>100</v>
      </c>
      <c r="K80" s="163">
        <f>'VI rok'!AE15</f>
        <v>4</v>
      </c>
    </row>
    <row r="81" spans="1:11" ht="15.75">
      <c r="A81" s="420">
        <v>8.6</v>
      </c>
      <c r="B81" s="447" t="s">
        <v>82</v>
      </c>
      <c r="C81" s="437" t="str">
        <f>"0912-7LEK-C"&amp;A81&amp;"-"&amp;UPPER(LEFT(B81,1))&amp;"R"</f>
        <v>0912-7LEK-C8,6-MR</v>
      </c>
      <c r="D81" s="438" t="s">
        <v>130</v>
      </c>
      <c r="E81" s="163">
        <f t="shared" si="14"/>
        <v>60</v>
      </c>
      <c r="F81" s="163">
        <f>'VI rok'!Z16</f>
        <v>0</v>
      </c>
      <c r="G81" s="163">
        <f>'VI rok'!AA16</f>
        <v>0</v>
      </c>
      <c r="H81" s="163">
        <f>'VI rok'!AB16</f>
        <v>60</v>
      </c>
      <c r="I81" s="163">
        <f>'VI rok'!AC16</f>
        <v>0</v>
      </c>
      <c r="J81" s="163">
        <f>'VI rok'!AD16</f>
        <v>100</v>
      </c>
      <c r="K81" s="163">
        <f>'VI rok'!AE16</f>
        <v>4</v>
      </c>
    </row>
    <row r="82" spans="1:11" ht="15.75">
      <c r="A82" s="420">
        <v>8.6999999999999993</v>
      </c>
      <c r="B82" s="447" t="s">
        <v>56</v>
      </c>
      <c r="C82" s="437" t="str">
        <f t="shared" si="13"/>
        <v>0912-7LEK-C8,7-M</v>
      </c>
      <c r="D82" s="438" t="s">
        <v>130</v>
      </c>
      <c r="E82" s="163">
        <f t="shared" si="14"/>
        <v>60</v>
      </c>
      <c r="F82" s="163">
        <f>'VI rok'!Z17</f>
        <v>0</v>
      </c>
      <c r="G82" s="163">
        <f>'VI rok'!AA17</f>
        <v>0</v>
      </c>
      <c r="H82" s="163">
        <f>'VI rok'!AB17</f>
        <v>60</v>
      </c>
      <c r="I82" s="163">
        <f>'VI rok'!AC17</f>
        <v>0</v>
      </c>
      <c r="J82" s="163">
        <f>'VI rok'!AD17</f>
        <v>100</v>
      </c>
      <c r="K82" s="163">
        <f>'VI rok'!AE17</f>
        <v>4</v>
      </c>
    </row>
    <row r="83" spans="1:11" ht="15.75">
      <c r="A83" s="420">
        <v>8.8000000000000007</v>
      </c>
      <c r="B83" s="447" t="s">
        <v>33</v>
      </c>
      <c r="C83" s="437" t="str">
        <f t="shared" si="13"/>
        <v>0912-7LEK-C8,8-S</v>
      </c>
      <c r="D83" s="438" t="s">
        <v>130</v>
      </c>
      <c r="E83" s="163">
        <f t="shared" si="14"/>
        <v>180</v>
      </c>
      <c r="F83" s="163">
        <f>'VI rok'!Z18</f>
        <v>0</v>
      </c>
      <c r="G83" s="163">
        <f>'VI rok'!AA18</f>
        <v>0</v>
      </c>
      <c r="H83" s="163">
        <f>'VI rok'!AB18</f>
        <v>180</v>
      </c>
      <c r="I83" s="163">
        <f>'VI rok'!AC18</f>
        <v>0</v>
      </c>
      <c r="J83" s="163">
        <f>'VI rok'!AD18</f>
        <v>300</v>
      </c>
      <c r="K83" s="163">
        <f>'VI rok'!AE18</f>
        <v>12</v>
      </c>
    </row>
    <row r="84" spans="1:11">
      <c r="A84" s="774" t="s">
        <v>9</v>
      </c>
      <c r="B84" s="775"/>
      <c r="C84" s="775"/>
      <c r="D84" s="776"/>
      <c r="E84" s="441">
        <f t="shared" ref="E84:K84" si="15">SUM(E76:E83)</f>
        <v>900</v>
      </c>
      <c r="F84" s="441">
        <f t="shared" si="15"/>
        <v>0</v>
      </c>
      <c r="G84" s="441">
        <f t="shared" si="15"/>
        <v>0</v>
      </c>
      <c r="H84" s="441">
        <f t="shared" si="15"/>
        <v>900</v>
      </c>
      <c r="I84" s="441">
        <f t="shared" si="15"/>
        <v>0</v>
      </c>
      <c r="J84" s="441">
        <f t="shared" si="15"/>
        <v>1500</v>
      </c>
      <c r="K84" s="441">
        <f t="shared" si="15"/>
        <v>60</v>
      </c>
    </row>
    <row r="85" spans="1:11">
      <c r="A85" s="771" t="s">
        <v>384</v>
      </c>
      <c r="B85" s="772"/>
      <c r="C85" s="772"/>
      <c r="D85" s="772"/>
      <c r="E85" s="772"/>
      <c r="F85" s="772"/>
      <c r="G85" s="772"/>
      <c r="H85" s="772"/>
      <c r="I85" s="772"/>
      <c r="J85" s="772"/>
      <c r="K85" s="773"/>
    </row>
    <row r="86" spans="1:11" ht="15.75">
      <c r="A86" s="414">
        <v>9.1</v>
      </c>
      <c r="B86" s="449" t="s">
        <v>83</v>
      </c>
      <c r="C86" s="161" t="str">
        <f t="shared" ref="C86:C93" si="16">"0912-7LEK-C"&amp;A86&amp;"-"&amp;UPPER(LEFT(B86,1))</f>
        <v>0912-7LEK-C9,1-O</v>
      </c>
      <c r="D86" s="162" t="s">
        <v>233</v>
      </c>
      <c r="E86" s="163">
        <f>'I rok'!Y29</f>
        <v>120</v>
      </c>
      <c r="F86" s="163">
        <v>0</v>
      </c>
      <c r="G86" s="163">
        <v>0</v>
      </c>
      <c r="H86" s="163">
        <f>'I rok'!AB29</f>
        <v>120</v>
      </c>
      <c r="I86" s="163">
        <v>0</v>
      </c>
      <c r="J86" s="163">
        <f>'I rok'!AD29</f>
        <v>120</v>
      </c>
      <c r="K86" s="163">
        <f>'I rok'!AE29</f>
        <v>4</v>
      </c>
    </row>
    <row r="87" spans="1:11" ht="15.75">
      <c r="A87" s="420">
        <v>9.1999999999999993</v>
      </c>
      <c r="B87" s="447" t="s">
        <v>227</v>
      </c>
      <c r="C87" s="437" t="str">
        <f t="shared" si="16"/>
        <v>0912-7LEK-C9,2-L</v>
      </c>
      <c r="D87" s="438" t="s">
        <v>139</v>
      </c>
      <c r="E87" s="439">
        <f>'II rok'!Y32</f>
        <v>90</v>
      </c>
      <c r="F87" s="439">
        <v>0</v>
      </c>
      <c r="G87" s="439">
        <v>0</v>
      </c>
      <c r="H87" s="439">
        <f>'II rok'!AB32</f>
        <v>90</v>
      </c>
      <c r="I87" s="439">
        <v>0</v>
      </c>
      <c r="J87" s="439">
        <f>'II rok'!AD32</f>
        <v>90</v>
      </c>
      <c r="K87" s="439">
        <f>'II rok'!AE32</f>
        <v>3</v>
      </c>
    </row>
    <row r="88" spans="1:11" ht="15.75">
      <c r="A88" s="420">
        <v>9.3000000000000007</v>
      </c>
      <c r="B88" s="447" t="s">
        <v>85</v>
      </c>
      <c r="C88" s="437" t="str">
        <f t="shared" si="16"/>
        <v>0912-7LEK-C9,3-P</v>
      </c>
      <c r="D88" s="438" t="s">
        <v>139</v>
      </c>
      <c r="E88" s="439">
        <f>'II rok'!Y33</f>
        <v>30</v>
      </c>
      <c r="F88" s="439">
        <v>0</v>
      </c>
      <c r="G88" s="439">
        <v>0</v>
      </c>
      <c r="H88" s="439">
        <f>'II rok'!AB33</f>
        <v>30</v>
      </c>
      <c r="I88" s="439">
        <v>0</v>
      </c>
      <c r="J88" s="439">
        <f>'II rok'!AD33</f>
        <v>30</v>
      </c>
      <c r="K88" s="439">
        <f>'II rok'!AE33</f>
        <v>1</v>
      </c>
    </row>
    <row r="89" spans="1:11" ht="15.75">
      <c r="A89" s="420">
        <v>9.4</v>
      </c>
      <c r="B89" s="447" t="s">
        <v>80</v>
      </c>
      <c r="C89" s="437" t="str">
        <f t="shared" si="16"/>
        <v>0912-7LEK-C9,4-C</v>
      </c>
      <c r="D89" s="438" t="s">
        <v>142</v>
      </c>
      <c r="E89" s="439">
        <f>'III rok'!Y26</f>
        <v>120</v>
      </c>
      <c r="F89" s="439">
        <v>0</v>
      </c>
      <c r="G89" s="439">
        <v>0</v>
      </c>
      <c r="H89" s="439">
        <f>'III rok'!AB26</f>
        <v>120</v>
      </c>
      <c r="I89" s="439">
        <v>0</v>
      </c>
      <c r="J89" s="439">
        <f>'III rok'!AD26</f>
        <v>120</v>
      </c>
      <c r="K89" s="439">
        <f>'III rok'!AE26</f>
        <v>4</v>
      </c>
    </row>
    <row r="90" spans="1:11" ht="15.75">
      <c r="A90" s="420">
        <v>9.5</v>
      </c>
      <c r="B90" s="447" t="s">
        <v>86</v>
      </c>
      <c r="C90" s="437" t="str">
        <f t="shared" si="16"/>
        <v>0912-7LEK-C9,5-I</v>
      </c>
      <c r="D90" s="438" t="s">
        <v>140</v>
      </c>
      <c r="E90" s="439">
        <f>'IV rok'!Y27</f>
        <v>60</v>
      </c>
      <c r="F90" s="439">
        <v>0</v>
      </c>
      <c r="G90" s="439">
        <v>0</v>
      </c>
      <c r="H90" s="439">
        <f>'IV rok'!AB27</f>
        <v>60</v>
      </c>
      <c r="I90" s="439">
        <v>0</v>
      </c>
      <c r="J90" s="439">
        <f>'IV rok'!AD27</f>
        <v>60</v>
      </c>
      <c r="K90" s="439">
        <f>'IV rok'!AE27</f>
        <v>2</v>
      </c>
    </row>
    <row r="91" spans="1:11" ht="15.75">
      <c r="A91" s="420">
        <v>9.6</v>
      </c>
      <c r="B91" s="447" t="s">
        <v>51</v>
      </c>
      <c r="C91" s="437" t="str">
        <f t="shared" si="16"/>
        <v>0912-7LEK-C9,6-P</v>
      </c>
      <c r="D91" s="438" t="s">
        <v>140</v>
      </c>
      <c r="E91" s="439">
        <f>'IV rok'!Y28</f>
        <v>60</v>
      </c>
      <c r="F91" s="439">
        <v>0</v>
      </c>
      <c r="G91" s="439">
        <v>0</v>
      </c>
      <c r="H91" s="439">
        <f>'IV rok'!AB28</f>
        <v>60</v>
      </c>
      <c r="I91" s="439">
        <v>0</v>
      </c>
      <c r="J91" s="439">
        <f>'IV rok'!AD28</f>
        <v>60</v>
      </c>
      <c r="K91" s="439">
        <f>'IV rok'!AE28</f>
        <v>2</v>
      </c>
    </row>
    <row r="92" spans="1:11" ht="15.75">
      <c r="A92" s="420">
        <v>9.6999999999999993</v>
      </c>
      <c r="B92" s="447" t="s">
        <v>81</v>
      </c>
      <c r="C92" s="437" t="str">
        <f t="shared" si="16"/>
        <v>0912-7LEK-C9,7-C</v>
      </c>
      <c r="D92" s="438" t="s">
        <v>128</v>
      </c>
      <c r="E92" s="439">
        <f>'V rok'!Y36</f>
        <v>60</v>
      </c>
      <c r="F92" s="439">
        <v>0</v>
      </c>
      <c r="G92" s="439">
        <v>0</v>
      </c>
      <c r="H92" s="439">
        <f>'V rok'!AB36</f>
        <v>60</v>
      </c>
      <c r="I92" s="439">
        <v>0</v>
      </c>
      <c r="J92" s="439">
        <f>'V rok'!AD36</f>
        <v>60</v>
      </c>
      <c r="K92" s="439">
        <f>'V rok'!AE36</f>
        <v>2</v>
      </c>
    </row>
    <row r="93" spans="1:11" ht="15.75">
      <c r="A93" s="420">
        <v>9.8000000000000007</v>
      </c>
      <c r="B93" s="447" t="s">
        <v>70</v>
      </c>
      <c r="C93" s="437" t="str">
        <f t="shared" si="16"/>
        <v>0912-7LEK-C9,8-G</v>
      </c>
      <c r="D93" s="438" t="s">
        <v>128</v>
      </c>
      <c r="E93" s="439">
        <f>'V rok'!Y37</f>
        <v>60</v>
      </c>
      <c r="F93" s="439">
        <v>0</v>
      </c>
      <c r="G93" s="439">
        <v>0</v>
      </c>
      <c r="H93" s="439">
        <f>'V rok'!AB37</f>
        <v>60</v>
      </c>
      <c r="I93" s="439">
        <v>0</v>
      </c>
      <c r="J93" s="439">
        <f>'V rok'!AD37</f>
        <v>60</v>
      </c>
      <c r="K93" s="439">
        <f>'V rok'!AE37</f>
        <v>2</v>
      </c>
    </row>
    <row r="94" spans="1:11">
      <c r="A94" s="778" t="s">
        <v>9</v>
      </c>
      <c r="B94" s="778"/>
      <c r="C94" s="450"/>
      <c r="D94" s="451"/>
      <c r="E94" s="452">
        <f>SUM(E86:E93)</f>
        <v>600</v>
      </c>
      <c r="F94" s="452">
        <f t="shared" ref="F94:K94" si="17">SUM(F86:F93)</f>
        <v>0</v>
      </c>
      <c r="G94" s="452">
        <f t="shared" si="17"/>
        <v>0</v>
      </c>
      <c r="H94" s="452">
        <f t="shared" si="17"/>
        <v>600</v>
      </c>
      <c r="I94" s="452">
        <f t="shared" si="17"/>
        <v>0</v>
      </c>
      <c r="J94" s="452">
        <f t="shared" si="17"/>
        <v>600</v>
      </c>
      <c r="K94" s="452">
        <f t="shared" si="17"/>
        <v>20</v>
      </c>
    </row>
    <row r="95" spans="1:11">
      <c r="A95" s="771" t="s">
        <v>382</v>
      </c>
      <c r="B95" s="772"/>
      <c r="C95" s="772"/>
      <c r="D95" s="772"/>
      <c r="E95" s="772"/>
      <c r="F95" s="772"/>
      <c r="G95" s="772"/>
      <c r="H95" s="772"/>
      <c r="I95" s="772"/>
      <c r="J95" s="772"/>
      <c r="K95" s="773"/>
    </row>
    <row r="96" spans="1:11" ht="15.75">
      <c r="A96" s="420">
        <v>10.199999999999999</v>
      </c>
      <c r="B96" s="447" t="s">
        <v>19</v>
      </c>
      <c r="C96" s="437" t="s">
        <v>307</v>
      </c>
      <c r="D96" s="438" t="s">
        <v>232</v>
      </c>
      <c r="E96" s="439">
        <f t="shared" ref="E96:E101" si="18">SUM(F96:I96)</f>
        <v>30</v>
      </c>
      <c r="F96" s="439">
        <v>0</v>
      </c>
      <c r="G96" s="439">
        <f>'I rok'!AA32</f>
        <v>30</v>
      </c>
      <c r="H96" s="439">
        <v>0</v>
      </c>
      <c r="I96" s="439">
        <v>0</v>
      </c>
      <c r="J96" s="439">
        <f>'I rok'!AD32</f>
        <v>30</v>
      </c>
      <c r="K96" s="439">
        <f>'I rok'!AE32</f>
        <v>1</v>
      </c>
    </row>
    <row r="97" spans="1:11" ht="18.75" customHeight="1">
      <c r="A97" s="420">
        <v>10.3</v>
      </c>
      <c r="B97" s="447" t="s">
        <v>397</v>
      </c>
      <c r="C97" s="437" t="s">
        <v>398</v>
      </c>
      <c r="D97" s="438" t="s">
        <v>232</v>
      </c>
      <c r="E97" s="439">
        <f t="shared" si="18"/>
        <v>2</v>
      </c>
      <c r="F97" s="439">
        <f>'I rok'!Z33</f>
        <v>0</v>
      </c>
      <c r="G97" s="439">
        <f>'I rok'!AA33</f>
        <v>2</v>
      </c>
      <c r="H97" s="439">
        <f>'I rok'!AB33</f>
        <v>0</v>
      </c>
      <c r="I97" s="439">
        <f>'I rok'!AC33</f>
        <v>0</v>
      </c>
      <c r="J97" s="439">
        <f>'I rok'!AD33</f>
        <v>2</v>
      </c>
      <c r="K97" s="439">
        <f>'I rok'!AE33</f>
        <v>0</v>
      </c>
    </row>
    <row r="98" spans="1:11" ht="15.75" customHeight="1">
      <c r="A98" s="420">
        <v>10.4</v>
      </c>
      <c r="B98" s="447" t="s">
        <v>30</v>
      </c>
      <c r="C98" s="437" t="str">
        <f>"0912-7LEK-A"&amp;A98&amp;"-"&amp;UPPER(LEFT(B98,1))&amp;"HP"</f>
        <v>0912-7LEK-A10,4-BHP</v>
      </c>
      <c r="D98" s="438" t="s">
        <v>232</v>
      </c>
      <c r="E98" s="439">
        <f t="shared" si="18"/>
        <v>5</v>
      </c>
      <c r="F98" s="439">
        <f>'I rok'!Z34</f>
        <v>5</v>
      </c>
      <c r="G98" s="439">
        <f>'I rok'!AA34</f>
        <v>0</v>
      </c>
      <c r="H98" s="439">
        <f>'I rok'!AB34</f>
        <v>0</v>
      </c>
      <c r="I98" s="439">
        <f>'I rok'!AC34</f>
        <v>0</v>
      </c>
      <c r="J98" s="439">
        <f>'I rok'!AD34</f>
        <v>5</v>
      </c>
      <c r="K98" s="439">
        <f>'I rok'!AE34</f>
        <v>0</v>
      </c>
    </row>
    <row r="99" spans="1:11" ht="18.75" customHeight="1">
      <c r="A99" s="420">
        <v>10.5</v>
      </c>
      <c r="B99" s="447" t="s">
        <v>108</v>
      </c>
      <c r="C99" s="437" t="str">
        <f>"0912-7LEK-A"&amp;A99&amp;"-"&amp;UPPER(LEFT(B99,1))&amp;"F"</f>
        <v>0912-7LEK-A10,5-WF</v>
      </c>
      <c r="D99" s="438" t="s">
        <v>231</v>
      </c>
      <c r="E99" s="439">
        <f>'I rok'!Y35</f>
        <v>60</v>
      </c>
      <c r="F99" s="439">
        <v>0</v>
      </c>
      <c r="G99" s="439">
        <f>'I rok'!AA35</f>
        <v>60</v>
      </c>
      <c r="H99" s="439">
        <v>0</v>
      </c>
      <c r="I99" s="439">
        <v>0</v>
      </c>
      <c r="J99" s="439">
        <f>'I rok'!AD35</f>
        <v>60</v>
      </c>
      <c r="K99" s="439">
        <f>'I rok'!AE35</f>
        <v>0</v>
      </c>
    </row>
    <row r="100" spans="1:11">
      <c r="A100" s="782"/>
      <c r="B100" s="760" t="s">
        <v>377</v>
      </c>
      <c r="C100" s="761"/>
      <c r="D100" s="438" t="s">
        <v>234</v>
      </c>
      <c r="E100" s="439">
        <f t="shared" si="18"/>
        <v>25</v>
      </c>
      <c r="F100" s="439">
        <f>'II rok'!Z36</f>
        <v>0</v>
      </c>
      <c r="G100" s="439">
        <f>'II rok'!AA36</f>
        <v>25</v>
      </c>
      <c r="H100" s="439">
        <f>'I rok'!AB36</f>
        <v>0</v>
      </c>
      <c r="I100" s="439">
        <f>'II rok'!AC36</f>
        <v>0</v>
      </c>
      <c r="J100" s="439">
        <f>'II rok'!AD36</f>
        <v>50</v>
      </c>
      <c r="K100" s="439">
        <f>'II rok'!AE36</f>
        <v>2</v>
      </c>
    </row>
    <row r="101" spans="1:11">
      <c r="A101" s="783"/>
      <c r="B101" s="762"/>
      <c r="C101" s="763"/>
      <c r="D101" s="438" t="s">
        <v>139</v>
      </c>
      <c r="E101" s="439">
        <f t="shared" si="18"/>
        <v>25</v>
      </c>
      <c r="F101" s="439">
        <f>'II rok'!Z37</f>
        <v>0</v>
      </c>
      <c r="G101" s="439">
        <f>'II rok'!AA37</f>
        <v>25</v>
      </c>
      <c r="H101" s="439">
        <f>'I rok'!AB37</f>
        <v>0</v>
      </c>
      <c r="I101" s="439">
        <f>'II rok'!AC37</f>
        <v>0</v>
      </c>
      <c r="J101" s="439">
        <f>'II rok'!AD37</f>
        <v>50</v>
      </c>
      <c r="K101" s="439">
        <f>'II rok'!AE37</f>
        <v>2</v>
      </c>
    </row>
    <row r="102" spans="1:11">
      <c r="A102" s="778" t="s">
        <v>9</v>
      </c>
      <c r="B102" s="778"/>
      <c r="C102" s="450"/>
      <c r="D102" s="451"/>
      <c r="E102" s="452">
        <f>SUM(E96:E101)</f>
        <v>147</v>
      </c>
      <c r="F102" s="452">
        <f>SUM(F96:F101)</f>
        <v>5</v>
      </c>
      <c r="G102" s="452">
        <f>SUM(G96:G101)</f>
        <v>142</v>
      </c>
      <c r="H102" s="452">
        <f>SUM(H96:H101)</f>
        <v>0</v>
      </c>
      <c r="I102" s="452">
        <f>SUM(I35:I99)</f>
        <v>0</v>
      </c>
      <c r="J102" s="452">
        <f>SUM(J96:J101)</f>
        <v>197</v>
      </c>
      <c r="K102" s="452">
        <f>SUM(K96:K101)</f>
        <v>5</v>
      </c>
    </row>
    <row r="103" spans="1:11">
      <c r="A103" s="771" t="s">
        <v>390</v>
      </c>
      <c r="B103" s="772"/>
      <c r="C103" s="772"/>
      <c r="D103" s="772"/>
      <c r="E103" s="772"/>
      <c r="F103" s="772"/>
      <c r="G103" s="772"/>
      <c r="H103" s="772"/>
      <c r="I103" s="772"/>
      <c r="J103" s="772"/>
      <c r="K103" s="773"/>
    </row>
    <row r="104" spans="1:11" ht="15.75">
      <c r="A104" s="424">
        <v>1</v>
      </c>
      <c r="B104" s="77" t="s">
        <v>115</v>
      </c>
      <c r="C104" s="437"/>
      <c r="D104" s="438" t="s">
        <v>232</v>
      </c>
      <c r="E104" s="439">
        <v>15</v>
      </c>
      <c r="F104" s="439">
        <v>15</v>
      </c>
      <c r="G104" s="439">
        <v>0</v>
      </c>
      <c r="H104" s="439">
        <v>0</v>
      </c>
      <c r="I104" s="439">
        <v>0</v>
      </c>
      <c r="J104" s="439">
        <v>25</v>
      </c>
      <c r="K104" s="439">
        <v>1</v>
      </c>
    </row>
    <row r="105" spans="1:11" ht="15.75">
      <c r="A105" s="424">
        <v>2</v>
      </c>
      <c r="B105" s="77" t="s">
        <v>115</v>
      </c>
      <c r="C105" s="437"/>
      <c r="D105" s="438" t="s">
        <v>233</v>
      </c>
      <c r="E105" s="439">
        <v>15</v>
      </c>
      <c r="F105" s="439">
        <v>15</v>
      </c>
      <c r="G105" s="439">
        <v>0</v>
      </c>
      <c r="H105" s="439">
        <v>0</v>
      </c>
      <c r="I105" s="439">
        <v>0</v>
      </c>
      <c r="J105" s="439">
        <v>25</v>
      </c>
      <c r="K105" s="439">
        <v>1</v>
      </c>
    </row>
    <row r="106" spans="1:11" ht="15.75">
      <c r="A106" s="424">
        <v>3</v>
      </c>
      <c r="B106" s="77" t="s">
        <v>115</v>
      </c>
      <c r="C106" s="437"/>
      <c r="D106" s="438" t="s">
        <v>234</v>
      </c>
      <c r="E106" s="439">
        <v>20</v>
      </c>
      <c r="F106" s="439">
        <v>0</v>
      </c>
      <c r="G106" s="439">
        <v>20</v>
      </c>
      <c r="H106" s="439">
        <v>0</v>
      </c>
      <c r="I106" s="439">
        <v>0</v>
      </c>
      <c r="J106" s="439">
        <v>25</v>
      </c>
      <c r="K106" s="439">
        <v>1</v>
      </c>
    </row>
    <row r="107" spans="1:11" ht="15.75">
      <c r="A107" s="424">
        <v>4</v>
      </c>
      <c r="B107" s="77" t="s">
        <v>115</v>
      </c>
      <c r="C107" s="437"/>
      <c r="D107" s="438" t="s">
        <v>234</v>
      </c>
      <c r="E107" s="439">
        <v>15</v>
      </c>
      <c r="F107" s="439">
        <v>15</v>
      </c>
      <c r="G107" s="439">
        <v>0</v>
      </c>
      <c r="H107" s="439">
        <v>0</v>
      </c>
      <c r="I107" s="439">
        <v>0</v>
      </c>
      <c r="J107" s="439">
        <v>25</v>
      </c>
      <c r="K107" s="439">
        <v>1</v>
      </c>
    </row>
    <row r="108" spans="1:11" ht="15.75">
      <c r="A108" s="424">
        <v>5</v>
      </c>
      <c r="B108" s="77" t="s">
        <v>115</v>
      </c>
      <c r="C108" s="437"/>
      <c r="D108" s="438" t="s">
        <v>234</v>
      </c>
      <c r="E108" s="439">
        <v>15</v>
      </c>
      <c r="F108" s="439">
        <v>15</v>
      </c>
      <c r="G108" s="439">
        <v>0</v>
      </c>
      <c r="H108" s="439">
        <v>0</v>
      </c>
      <c r="I108" s="439">
        <v>0</v>
      </c>
      <c r="J108" s="439">
        <v>25</v>
      </c>
      <c r="K108" s="439">
        <v>1</v>
      </c>
    </row>
    <row r="109" spans="1:11" ht="15.75">
      <c r="A109" s="424">
        <v>6</v>
      </c>
      <c r="B109" s="77" t="s">
        <v>115</v>
      </c>
      <c r="C109" s="437"/>
      <c r="D109" s="438" t="s">
        <v>139</v>
      </c>
      <c r="E109" s="439">
        <v>15</v>
      </c>
      <c r="F109" s="439">
        <v>15</v>
      </c>
      <c r="G109" s="439">
        <v>0</v>
      </c>
      <c r="H109" s="439">
        <v>0</v>
      </c>
      <c r="I109" s="439">
        <v>0</v>
      </c>
      <c r="J109" s="439">
        <v>25</v>
      </c>
      <c r="K109" s="439">
        <v>1</v>
      </c>
    </row>
    <row r="110" spans="1:11" ht="15.75">
      <c r="A110" s="424">
        <v>7</v>
      </c>
      <c r="B110" s="77" t="s">
        <v>115</v>
      </c>
      <c r="C110" s="437"/>
      <c r="D110" s="438" t="s">
        <v>139</v>
      </c>
      <c r="E110" s="439">
        <v>20</v>
      </c>
      <c r="F110" s="439">
        <v>0</v>
      </c>
      <c r="G110" s="439">
        <v>20</v>
      </c>
      <c r="H110" s="439">
        <v>0</v>
      </c>
      <c r="I110" s="439">
        <v>0</v>
      </c>
      <c r="J110" s="439">
        <v>25</v>
      </c>
      <c r="K110" s="439">
        <v>1</v>
      </c>
    </row>
    <row r="111" spans="1:11" ht="15.75">
      <c r="A111" s="424">
        <v>8</v>
      </c>
      <c r="B111" s="77" t="s">
        <v>115</v>
      </c>
      <c r="C111" s="437"/>
      <c r="D111" s="438" t="s">
        <v>141</v>
      </c>
      <c r="E111" s="439">
        <v>15</v>
      </c>
      <c r="F111" s="439">
        <v>15</v>
      </c>
      <c r="G111" s="439">
        <v>0</v>
      </c>
      <c r="H111" s="439">
        <v>0</v>
      </c>
      <c r="I111" s="439">
        <v>0</v>
      </c>
      <c r="J111" s="439">
        <v>25</v>
      </c>
      <c r="K111" s="439">
        <v>1</v>
      </c>
    </row>
    <row r="112" spans="1:11" ht="15.75">
      <c r="A112" s="424">
        <v>9</v>
      </c>
      <c r="B112" s="77" t="s">
        <v>115</v>
      </c>
      <c r="C112" s="437"/>
      <c r="D112" s="438" t="s">
        <v>141</v>
      </c>
      <c r="E112" s="439">
        <v>15</v>
      </c>
      <c r="F112" s="439">
        <v>15</v>
      </c>
      <c r="G112" s="439">
        <v>0</v>
      </c>
      <c r="H112" s="439">
        <v>0</v>
      </c>
      <c r="I112" s="439">
        <v>0</v>
      </c>
      <c r="J112" s="439">
        <v>25</v>
      </c>
      <c r="K112" s="439">
        <v>1</v>
      </c>
    </row>
    <row r="113" spans="1:22" s="295" customFormat="1" ht="15.75">
      <c r="A113" s="424">
        <v>10</v>
      </c>
      <c r="B113" s="77" t="s">
        <v>115</v>
      </c>
      <c r="C113" s="437"/>
      <c r="D113" s="438" t="s">
        <v>141</v>
      </c>
      <c r="E113" s="439">
        <v>15</v>
      </c>
      <c r="F113" s="439">
        <v>0</v>
      </c>
      <c r="G113" s="439">
        <v>15</v>
      </c>
      <c r="H113" s="439">
        <v>0</v>
      </c>
      <c r="I113" s="439">
        <v>0</v>
      </c>
      <c r="J113" s="439">
        <v>25</v>
      </c>
      <c r="K113" s="439">
        <v>1</v>
      </c>
    </row>
    <row r="114" spans="1:22" ht="15.75">
      <c r="A114" s="424">
        <v>11</v>
      </c>
      <c r="B114" s="77" t="s">
        <v>115</v>
      </c>
      <c r="C114" s="437"/>
      <c r="D114" s="438" t="s">
        <v>141</v>
      </c>
      <c r="E114" s="439">
        <v>15</v>
      </c>
      <c r="F114" s="439">
        <v>0</v>
      </c>
      <c r="G114" s="439">
        <v>15</v>
      </c>
      <c r="H114" s="439">
        <v>0</v>
      </c>
      <c r="I114" s="439">
        <v>0</v>
      </c>
      <c r="J114" s="439">
        <v>25</v>
      </c>
      <c r="K114" s="439">
        <v>1</v>
      </c>
    </row>
    <row r="115" spans="1:22" s="295" customFormat="1" ht="15.75">
      <c r="A115" s="424">
        <v>12</v>
      </c>
      <c r="B115" s="77" t="s">
        <v>115</v>
      </c>
      <c r="C115" s="437"/>
      <c r="D115" s="438" t="s">
        <v>142</v>
      </c>
      <c r="E115" s="439">
        <v>15</v>
      </c>
      <c r="F115" s="439">
        <v>15</v>
      </c>
      <c r="G115" s="439">
        <v>0</v>
      </c>
      <c r="H115" s="439">
        <v>0</v>
      </c>
      <c r="I115" s="439">
        <v>0</v>
      </c>
      <c r="J115" s="439">
        <v>25</v>
      </c>
      <c r="K115" s="439">
        <v>1</v>
      </c>
    </row>
    <row r="116" spans="1:22" ht="15.75">
      <c r="A116" s="424">
        <v>13</v>
      </c>
      <c r="B116" s="77" t="s">
        <v>115</v>
      </c>
      <c r="C116" s="437"/>
      <c r="D116" s="438" t="s">
        <v>142</v>
      </c>
      <c r="E116" s="439">
        <v>15</v>
      </c>
      <c r="F116" s="439">
        <v>15</v>
      </c>
      <c r="G116" s="439">
        <v>0</v>
      </c>
      <c r="H116" s="439">
        <v>0</v>
      </c>
      <c r="I116" s="439">
        <v>0</v>
      </c>
      <c r="J116" s="439">
        <v>25</v>
      </c>
      <c r="K116" s="439">
        <v>1</v>
      </c>
    </row>
    <row r="117" spans="1:22" ht="15.75">
      <c r="A117" s="424">
        <v>14</v>
      </c>
      <c r="B117" s="77" t="s">
        <v>115</v>
      </c>
      <c r="C117" s="437"/>
      <c r="D117" s="438" t="s">
        <v>142</v>
      </c>
      <c r="E117" s="439">
        <v>15</v>
      </c>
      <c r="F117" s="439">
        <v>15</v>
      </c>
      <c r="G117" s="439">
        <v>0</v>
      </c>
      <c r="H117" s="439">
        <v>0</v>
      </c>
      <c r="I117" s="439">
        <v>0</v>
      </c>
      <c r="J117" s="439">
        <v>25</v>
      </c>
      <c r="K117" s="439">
        <v>1</v>
      </c>
    </row>
    <row r="118" spans="1:22" ht="15.75">
      <c r="A118" s="424">
        <v>15</v>
      </c>
      <c r="B118" s="77" t="s">
        <v>115</v>
      </c>
      <c r="C118" s="437"/>
      <c r="D118" s="438" t="s">
        <v>143</v>
      </c>
      <c r="E118" s="439">
        <v>15</v>
      </c>
      <c r="F118" s="439">
        <v>15</v>
      </c>
      <c r="G118" s="439">
        <v>0</v>
      </c>
      <c r="H118" s="439">
        <v>0</v>
      </c>
      <c r="I118" s="439">
        <v>0</v>
      </c>
      <c r="J118" s="439">
        <v>25</v>
      </c>
      <c r="K118" s="439">
        <v>1</v>
      </c>
    </row>
    <row r="119" spans="1:22" ht="15.75">
      <c r="A119" s="424">
        <v>16</v>
      </c>
      <c r="B119" s="77" t="s">
        <v>115</v>
      </c>
      <c r="C119" s="437"/>
      <c r="D119" s="438" t="s">
        <v>143</v>
      </c>
      <c r="E119" s="439">
        <v>15</v>
      </c>
      <c r="F119" s="439">
        <v>15</v>
      </c>
      <c r="G119" s="439">
        <v>0</v>
      </c>
      <c r="H119" s="439">
        <v>0</v>
      </c>
      <c r="I119" s="439">
        <v>0</v>
      </c>
      <c r="J119" s="439">
        <v>25</v>
      </c>
      <c r="K119" s="439">
        <v>1</v>
      </c>
    </row>
    <row r="120" spans="1:22" ht="15.75">
      <c r="A120" s="424">
        <v>17</v>
      </c>
      <c r="B120" s="77" t="s">
        <v>115</v>
      </c>
      <c r="C120" s="437"/>
      <c r="D120" s="438" t="s">
        <v>143</v>
      </c>
      <c r="E120" s="439">
        <v>15</v>
      </c>
      <c r="F120" s="439">
        <v>15</v>
      </c>
      <c r="G120" s="439">
        <v>0</v>
      </c>
      <c r="H120" s="439">
        <v>0</v>
      </c>
      <c r="I120" s="439">
        <v>0</v>
      </c>
      <c r="J120" s="439">
        <v>25</v>
      </c>
      <c r="K120" s="439">
        <v>1</v>
      </c>
      <c r="V120" s="100"/>
    </row>
    <row r="121" spans="1:22" ht="15.75">
      <c r="A121" s="424">
        <v>18</v>
      </c>
      <c r="B121" s="77" t="s">
        <v>115</v>
      </c>
      <c r="C121" s="437"/>
      <c r="D121" s="438" t="s">
        <v>140</v>
      </c>
      <c r="E121" s="439">
        <v>15</v>
      </c>
      <c r="F121" s="439">
        <v>15</v>
      </c>
      <c r="G121" s="439">
        <v>0</v>
      </c>
      <c r="H121" s="439">
        <v>0</v>
      </c>
      <c r="I121" s="439">
        <v>0</v>
      </c>
      <c r="J121" s="439">
        <v>25</v>
      </c>
      <c r="K121" s="439">
        <v>1</v>
      </c>
      <c r="V121" s="100"/>
    </row>
    <row r="122" spans="1:22" ht="15.75">
      <c r="A122" s="424">
        <v>19</v>
      </c>
      <c r="B122" s="77" t="s">
        <v>115</v>
      </c>
      <c r="C122" s="437"/>
      <c r="D122" s="438" t="s">
        <v>140</v>
      </c>
      <c r="E122" s="439">
        <v>15</v>
      </c>
      <c r="F122" s="439">
        <v>15</v>
      </c>
      <c r="G122" s="439">
        <v>0</v>
      </c>
      <c r="H122" s="439">
        <v>0</v>
      </c>
      <c r="I122" s="439">
        <v>0</v>
      </c>
      <c r="J122" s="439">
        <v>25</v>
      </c>
      <c r="K122" s="439">
        <v>1</v>
      </c>
      <c r="V122" s="100"/>
    </row>
    <row r="123" spans="1:22" ht="15.75">
      <c r="A123" s="424">
        <v>20</v>
      </c>
      <c r="B123" s="77" t="s">
        <v>115</v>
      </c>
      <c r="C123" s="437"/>
      <c r="D123" s="438" t="s">
        <v>140</v>
      </c>
      <c r="E123" s="439">
        <v>15</v>
      </c>
      <c r="F123" s="439">
        <v>15</v>
      </c>
      <c r="G123" s="439">
        <v>0</v>
      </c>
      <c r="H123" s="439">
        <v>0</v>
      </c>
      <c r="I123" s="439">
        <v>0</v>
      </c>
      <c r="J123" s="439">
        <v>25</v>
      </c>
      <c r="K123" s="439">
        <v>1</v>
      </c>
      <c r="V123" s="100"/>
    </row>
    <row r="124" spans="1:22" ht="15.75">
      <c r="A124" s="424">
        <v>21</v>
      </c>
      <c r="B124" s="77" t="s">
        <v>115</v>
      </c>
      <c r="C124" s="437"/>
      <c r="D124" s="438" t="s">
        <v>125</v>
      </c>
      <c r="E124" s="439">
        <v>30</v>
      </c>
      <c r="F124" s="439">
        <v>15</v>
      </c>
      <c r="G124" s="439">
        <v>15</v>
      </c>
      <c r="H124" s="439">
        <v>0</v>
      </c>
      <c r="I124" s="439">
        <v>0</v>
      </c>
      <c r="J124" s="439">
        <v>50</v>
      </c>
      <c r="K124" s="439">
        <v>2</v>
      </c>
      <c r="V124" s="81"/>
    </row>
    <row r="125" spans="1:22" ht="15" customHeight="1">
      <c r="A125" s="424">
        <v>22</v>
      </c>
      <c r="B125" s="77" t="s">
        <v>115</v>
      </c>
      <c r="C125" s="437"/>
      <c r="D125" s="438" t="s">
        <v>125</v>
      </c>
      <c r="E125" s="439">
        <v>15</v>
      </c>
      <c r="F125" s="439">
        <v>0</v>
      </c>
      <c r="G125" s="439">
        <v>15</v>
      </c>
      <c r="H125" s="439">
        <v>0</v>
      </c>
      <c r="I125" s="439">
        <v>0</v>
      </c>
      <c r="J125" s="439">
        <v>25</v>
      </c>
      <c r="K125" s="439">
        <v>1</v>
      </c>
    </row>
    <row r="126" spans="1:22" ht="15" customHeight="1">
      <c r="A126" s="424">
        <v>23</v>
      </c>
      <c r="B126" s="77" t="s">
        <v>115</v>
      </c>
      <c r="C126" s="437"/>
      <c r="D126" s="438" t="s">
        <v>125</v>
      </c>
      <c r="E126" s="439">
        <v>30</v>
      </c>
      <c r="F126" s="439">
        <v>0</v>
      </c>
      <c r="G126" s="439">
        <v>30</v>
      </c>
      <c r="H126" s="439">
        <v>0</v>
      </c>
      <c r="I126" s="439">
        <v>0</v>
      </c>
      <c r="J126" s="439">
        <v>50</v>
      </c>
      <c r="K126" s="439">
        <v>2</v>
      </c>
    </row>
    <row r="127" spans="1:22" s="295" customFormat="1" ht="15" customHeight="1">
      <c r="A127" s="424">
        <v>24</v>
      </c>
      <c r="B127" s="77" t="s">
        <v>115</v>
      </c>
      <c r="C127" s="512"/>
      <c r="D127" s="438" t="s">
        <v>128</v>
      </c>
      <c r="E127" s="439">
        <v>15</v>
      </c>
      <c r="F127" s="439">
        <v>15</v>
      </c>
      <c r="G127" s="439">
        <v>0</v>
      </c>
      <c r="H127" s="439">
        <v>0</v>
      </c>
      <c r="I127" s="439">
        <v>0</v>
      </c>
      <c r="J127" s="439">
        <v>25</v>
      </c>
      <c r="K127" s="439">
        <v>1</v>
      </c>
    </row>
    <row r="128" spans="1:22" s="295" customFormat="1" ht="15" customHeight="1">
      <c r="A128" s="424">
        <v>25</v>
      </c>
      <c r="B128" s="77" t="s">
        <v>115</v>
      </c>
      <c r="C128" s="512"/>
      <c r="D128" s="438" t="s">
        <v>128</v>
      </c>
      <c r="E128" s="439">
        <v>30</v>
      </c>
      <c r="F128" s="439">
        <v>0</v>
      </c>
      <c r="G128" s="439">
        <v>30</v>
      </c>
      <c r="H128" s="439">
        <v>0</v>
      </c>
      <c r="I128" s="439">
        <v>0</v>
      </c>
      <c r="J128" s="439">
        <v>50</v>
      </c>
      <c r="K128" s="439">
        <v>2</v>
      </c>
    </row>
    <row r="129" spans="1:11" s="295" customFormat="1" ht="15" customHeight="1">
      <c r="A129" s="424">
        <v>26</v>
      </c>
      <c r="B129" s="77" t="s">
        <v>115</v>
      </c>
      <c r="C129" s="512"/>
      <c r="D129" s="438" t="s">
        <v>129</v>
      </c>
      <c r="E129" s="439">
        <v>20</v>
      </c>
      <c r="F129" s="439">
        <v>0</v>
      </c>
      <c r="G129" s="439">
        <v>20</v>
      </c>
      <c r="H129" s="439">
        <v>0</v>
      </c>
      <c r="I129" s="439">
        <v>0</v>
      </c>
      <c r="J129" s="439">
        <v>25</v>
      </c>
      <c r="K129" s="439">
        <v>1</v>
      </c>
    </row>
    <row r="130" spans="1:11" s="295" customFormat="1" ht="15" customHeight="1">
      <c r="A130" s="424">
        <v>27</v>
      </c>
      <c r="B130" s="77" t="s">
        <v>115</v>
      </c>
      <c r="C130" s="512"/>
      <c r="D130" s="438" t="s">
        <v>130</v>
      </c>
      <c r="E130" s="439">
        <v>20</v>
      </c>
      <c r="F130" s="439">
        <v>0</v>
      </c>
      <c r="G130" s="439">
        <v>20</v>
      </c>
      <c r="H130" s="439">
        <v>0</v>
      </c>
      <c r="I130" s="439">
        <v>0</v>
      </c>
      <c r="J130" s="439">
        <v>50</v>
      </c>
      <c r="K130" s="439">
        <v>2</v>
      </c>
    </row>
    <row r="131" spans="1:11" ht="15" customHeight="1">
      <c r="A131" s="756" t="s">
        <v>9</v>
      </c>
      <c r="B131" s="757"/>
      <c r="C131" s="757"/>
      <c r="D131" s="758"/>
      <c r="E131" s="452">
        <f t="shared" ref="E131:K131" si="19">SUM(E104:E130)</f>
        <v>470</v>
      </c>
      <c r="F131" s="452">
        <f t="shared" si="19"/>
        <v>270</v>
      </c>
      <c r="G131" s="452">
        <f t="shared" si="19"/>
        <v>200</v>
      </c>
      <c r="H131" s="452">
        <f t="shared" si="19"/>
        <v>0</v>
      </c>
      <c r="I131" s="452">
        <f t="shared" si="19"/>
        <v>0</v>
      </c>
      <c r="J131" s="452">
        <f t="shared" si="19"/>
        <v>775</v>
      </c>
      <c r="K131" s="452">
        <f t="shared" si="19"/>
        <v>31</v>
      </c>
    </row>
    <row r="132" spans="1:11" s="295" customFormat="1" ht="15" customHeight="1">
      <c r="A132" s="771" t="s">
        <v>435</v>
      </c>
      <c r="B132" s="772"/>
      <c r="C132" s="772"/>
      <c r="D132" s="772"/>
      <c r="E132" s="772"/>
      <c r="F132" s="772"/>
      <c r="G132" s="772"/>
      <c r="H132" s="772"/>
      <c r="I132" s="772"/>
      <c r="J132" s="772"/>
      <c r="K132" s="773"/>
    </row>
    <row r="133" spans="1:11" s="295" customFormat="1" ht="15" customHeight="1">
      <c r="A133" s="480" t="s">
        <v>439</v>
      </c>
      <c r="B133" s="479" t="s">
        <v>436</v>
      </c>
      <c r="C133" s="481" t="str">
        <f>'I rok'!C42</f>
        <v>0912-7LEK-A12.1-BHPoz</v>
      </c>
      <c r="D133" s="482">
        <v>1</v>
      </c>
      <c r="E133" s="478">
        <f>'I rok'!Y42</f>
        <v>5</v>
      </c>
      <c r="F133" s="478">
        <f>'I rok'!Z42</f>
        <v>5</v>
      </c>
      <c r="G133" s="478">
        <f>'I rok'!AA42</f>
        <v>0</v>
      </c>
      <c r="H133" s="478">
        <f>'I rok'!AB42</f>
        <v>0</v>
      </c>
      <c r="I133" s="478">
        <f>'I rok'!AC42</f>
        <v>0</v>
      </c>
      <c r="J133" s="478">
        <f>'I rok'!AD42</f>
        <v>5</v>
      </c>
      <c r="K133" s="478">
        <f>'I rok'!AE42</f>
        <v>0</v>
      </c>
    </row>
    <row r="134" spans="1:11" s="295" customFormat="1" ht="15" customHeight="1">
      <c r="A134" s="480" t="s">
        <v>440</v>
      </c>
      <c r="B134" s="479" t="s">
        <v>437</v>
      </c>
      <c r="C134" s="481" t="str">
        <f>'I rok'!C43</f>
        <v>0912-7LEK-A12.1-BEp</v>
      </c>
      <c r="D134" s="482">
        <v>1</v>
      </c>
      <c r="E134" s="478">
        <f>'I rok'!Y43</f>
        <v>5</v>
      </c>
      <c r="F134" s="478">
        <f>'I rok'!Z43</f>
        <v>5</v>
      </c>
      <c r="G134" s="478">
        <f>'I rok'!AA43</f>
        <v>0</v>
      </c>
      <c r="H134" s="478">
        <f>'I rok'!AB43</f>
        <v>0</v>
      </c>
      <c r="I134" s="478">
        <f>'I rok'!AC43</f>
        <v>0</v>
      </c>
      <c r="J134" s="478">
        <f>'I rok'!AD43</f>
        <v>5</v>
      </c>
      <c r="K134" s="478">
        <f>'I rok'!AE43</f>
        <v>0</v>
      </c>
    </row>
    <row r="135" spans="1:11" s="295" customFormat="1" ht="15" customHeight="1">
      <c r="A135" s="480" t="s">
        <v>441</v>
      </c>
      <c r="B135" s="479" t="s">
        <v>438</v>
      </c>
      <c r="C135" s="481" t="str">
        <f>'I rok'!C44</f>
        <v>0912-7LEK-A12.1-BPpoż</v>
      </c>
      <c r="D135" s="482">
        <v>1</v>
      </c>
      <c r="E135" s="478">
        <f>'I rok'!Y44</f>
        <v>5</v>
      </c>
      <c r="F135" s="478">
        <f>'I rok'!Z44</f>
        <v>5</v>
      </c>
      <c r="G135" s="478">
        <f>'I rok'!AA44</f>
        <v>0</v>
      </c>
      <c r="H135" s="478">
        <f>'I rok'!AB44</f>
        <v>0</v>
      </c>
      <c r="I135" s="478">
        <f>'I rok'!AC44</f>
        <v>0</v>
      </c>
      <c r="J135" s="478">
        <f>'I rok'!AD44</f>
        <v>5</v>
      </c>
      <c r="K135" s="478">
        <f>'I rok'!AE44</f>
        <v>0</v>
      </c>
    </row>
    <row r="136" spans="1:11" s="295" customFormat="1" ht="15" customHeight="1">
      <c r="A136" s="778" t="s">
        <v>9</v>
      </c>
      <c r="B136" s="778"/>
      <c r="C136" s="778"/>
      <c r="D136" s="778"/>
      <c r="E136" s="483">
        <f>SUM(E133:E135)</f>
        <v>15</v>
      </c>
      <c r="F136" s="483">
        <f t="shared" ref="F136:K136" si="20">SUM(F133:F135)</f>
        <v>15</v>
      </c>
      <c r="G136" s="483">
        <f t="shared" si="20"/>
        <v>0</v>
      </c>
      <c r="H136" s="483">
        <f t="shared" si="20"/>
        <v>0</v>
      </c>
      <c r="I136" s="483">
        <f t="shared" si="20"/>
        <v>0</v>
      </c>
      <c r="J136" s="483">
        <f t="shared" si="20"/>
        <v>15</v>
      </c>
      <c r="K136" s="483">
        <f t="shared" si="20"/>
        <v>0</v>
      </c>
    </row>
    <row r="137" spans="1:11" ht="26.25" customHeight="1">
      <c r="A137" s="779" t="s">
        <v>228</v>
      </c>
      <c r="B137" s="780"/>
      <c r="C137" s="780"/>
      <c r="D137" s="781"/>
      <c r="E137" s="453">
        <f t="shared" ref="E137:K137" si="21">SUM(E8,E18,E28,E37,E52,E67,E74,E84,E94,E102,E131,E136,)</f>
        <v>5807</v>
      </c>
      <c r="F137" s="453">
        <f t="shared" si="21"/>
        <v>1640</v>
      </c>
      <c r="G137" s="453">
        <f t="shared" si="21"/>
        <v>1632</v>
      </c>
      <c r="H137" s="453">
        <f t="shared" si="21"/>
        <v>2350</v>
      </c>
      <c r="I137" s="453">
        <f t="shared" si="21"/>
        <v>185</v>
      </c>
      <c r="J137" s="453">
        <f t="shared" si="21"/>
        <v>9342</v>
      </c>
      <c r="K137" s="453">
        <f t="shared" si="21"/>
        <v>365</v>
      </c>
    </row>
    <row r="138" spans="1:11">
      <c r="A138" s="454"/>
      <c r="B138" s="454"/>
      <c r="C138" s="455"/>
      <c r="D138" s="456"/>
      <c r="E138" s="457"/>
      <c r="F138" s="457"/>
      <c r="G138" s="457"/>
      <c r="H138" s="457"/>
      <c r="I138" s="457"/>
      <c r="J138" s="457"/>
      <c r="K138" s="457"/>
    </row>
    <row r="140" spans="1:11" ht="15" customHeight="1">
      <c r="B140" s="769" t="s">
        <v>487</v>
      </c>
      <c r="C140" s="769"/>
      <c r="D140" s="769"/>
      <c r="E140" s="769"/>
      <c r="F140" s="769"/>
      <c r="G140" s="769"/>
    </row>
    <row r="141" spans="1:11">
      <c r="B141" s="769"/>
      <c r="C141" s="769"/>
      <c r="D141" s="769"/>
      <c r="E141" s="769"/>
      <c r="F141" s="769"/>
      <c r="G141" s="769"/>
    </row>
    <row r="142" spans="1:11">
      <c r="B142" s="769"/>
      <c r="C142" s="769"/>
      <c r="D142" s="769"/>
      <c r="E142" s="769"/>
      <c r="F142" s="769"/>
      <c r="G142" s="769"/>
    </row>
    <row r="143" spans="1:11">
      <c r="B143" s="769"/>
      <c r="C143" s="769"/>
      <c r="D143" s="769"/>
      <c r="E143" s="769"/>
      <c r="F143" s="769"/>
      <c r="G143" s="769"/>
    </row>
    <row r="144" spans="1:11">
      <c r="B144" s="769"/>
      <c r="C144" s="769"/>
      <c r="D144" s="769"/>
      <c r="E144" s="769"/>
      <c r="F144" s="769"/>
      <c r="G144" s="769"/>
    </row>
    <row r="145" spans="2:7">
      <c r="B145" s="769"/>
      <c r="C145" s="769"/>
      <c r="D145" s="769"/>
      <c r="E145" s="769"/>
      <c r="F145" s="769"/>
      <c r="G145" s="769"/>
    </row>
    <row r="146" spans="2:7">
      <c r="D146" s="462" t="s">
        <v>122</v>
      </c>
      <c r="E146" s="88"/>
      <c r="F146" s="294"/>
    </row>
    <row r="148" spans="2:7">
      <c r="C148" s="259"/>
    </row>
  </sheetData>
  <mergeCells count="34">
    <mergeCell ref="A131:D131"/>
    <mergeCell ref="A137:D137"/>
    <mergeCell ref="A100:A101"/>
    <mergeCell ref="B100:C101"/>
    <mergeCell ref="A102:B102"/>
    <mergeCell ref="A103:K103"/>
    <mergeCell ref="A132:K132"/>
    <mergeCell ref="A136:D136"/>
    <mergeCell ref="A68:K68"/>
    <mergeCell ref="A74:D74"/>
    <mergeCell ref="A75:K75"/>
    <mergeCell ref="A84:D84"/>
    <mergeCell ref="A85:K85"/>
    <mergeCell ref="A1:K1"/>
    <mergeCell ref="A2:B2"/>
    <mergeCell ref="A8:D8"/>
    <mergeCell ref="A9:K9"/>
    <mergeCell ref="U14:V14"/>
    <mergeCell ref="B140:G145"/>
    <mergeCell ref="A3:D3"/>
    <mergeCell ref="U13:AY13"/>
    <mergeCell ref="A95:K95"/>
    <mergeCell ref="A28:D28"/>
    <mergeCell ref="AB14:AJ14"/>
    <mergeCell ref="U27:V27"/>
    <mergeCell ref="A18:D18"/>
    <mergeCell ref="A19:K19"/>
    <mergeCell ref="A94:B94"/>
    <mergeCell ref="A29:K29"/>
    <mergeCell ref="A37:D37"/>
    <mergeCell ref="A38:K38"/>
    <mergeCell ref="A52:D52"/>
    <mergeCell ref="A53:K53"/>
    <mergeCell ref="A67:D67"/>
  </mergeCells>
  <pageMargins left="0.25" right="0.25" top="0.75" bottom="0.75" header="0.3" footer="0.3"/>
  <pageSetup paperSize="9" scale="73" fitToHeight="0" orientation="portrait" r:id="rId1"/>
  <rowBreaks count="2" manualBreakCount="2">
    <brk id="37" max="10" man="1"/>
    <brk id="94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RowHeight="15"/>
  <cols>
    <col min="1" max="1" width="4" style="123" customWidth="1"/>
    <col min="2" max="2" width="3" style="100" bestFit="1" customWidth="1"/>
    <col min="3" max="3" width="58.42578125" style="95" customWidth="1"/>
    <col min="4" max="4" width="21.7109375" style="95" bestFit="1" customWidth="1"/>
    <col min="5" max="5" width="6.140625" style="100" customWidth="1"/>
    <col min="6" max="6" width="6.140625" style="119" customWidth="1"/>
    <col min="7" max="7" width="6.140625" style="100" customWidth="1"/>
    <col min="8" max="25" width="5.140625" style="100" customWidth="1"/>
    <col min="26" max="26" width="7" style="100" customWidth="1"/>
    <col min="27" max="30" width="6.140625" style="100" customWidth="1"/>
    <col min="31" max="31" width="9.140625" style="100" customWidth="1"/>
    <col min="32" max="32" width="7.140625" style="100" customWidth="1"/>
    <col min="33" max="16384" width="9.140625" style="95"/>
  </cols>
  <sheetData>
    <row r="1" spans="1:70" ht="76.5" customHeight="1" thickBot="1">
      <c r="A1" s="127"/>
      <c r="B1" s="160"/>
      <c r="C1" s="784" t="s">
        <v>261</v>
      </c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  <c r="R1" s="784"/>
      <c r="S1" s="784"/>
      <c r="T1" s="784"/>
      <c r="U1" s="784"/>
      <c r="V1" s="784"/>
      <c r="W1" s="784"/>
      <c r="X1" s="784"/>
      <c r="Y1" s="784"/>
      <c r="Z1" s="784"/>
      <c r="AA1" s="784"/>
      <c r="AB1" s="784"/>
      <c r="AC1" s="784"/>
      <c r="AD1" s="784"/>
      <c r="AE1" s="784"/>
      <c r="AF1" s="78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</row>
    <row r="2" spans="1:70" ht="18.75">
      <c r="B2" s="785"/>
      <c r="C2" s="786"/>
      <c r="D2" s="786"/>
      <c r="E2" s="786"/>
      <c r="F2" s="786"/>
      <c r="G2" s="787"/>
      <c r="H2" s="788" t="s">
        <v>103</v>
      </c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788"/>
      <c r="AD2" s="788"/>
      <c r="AE2" s="788"/>
      <c r="AF2" s="789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</row>
    <row r="3" spans="1:70" ht="13.5" customHeight="1">
      <c r="B3" s="790" t="s">
        <v>0</v>
      </c>
      <c r="C3" s="791" t="s">
        <v>4</v>
      </c>
      <c r="D3" s="791" t="s">
        <v>1</v>
      </c>
      <c r="E3" s="792" t="s">
        <v>8</v>
      </c>
      <c r="F3" s="792"/>
      <c r="G3" s="792"/>
      <c r="H3" s="793" t="s">
        <v>89</v>
      </c>
      <c r="I3" s="793"/>
      <c r="J3" s="793" t="s">
        <v>88</v>
      </c>
      <c r="K3" s="793"/>
      <c r="L3" s="793" t="s">
        <v>94</v>
      </c>
      <c r="M3" s="793"/>
      <c r="N3" s="793" t="s">
        <v>90</v>
      </c>
      <c r="O3" s="793"/>
      <c r="P3" s="798" t="s">
        <v>7</v>
      </c>
      <c r="Q3" s="800" t="s">
        <v>89</v>
      </c>
      <c r="R3" s="800"/>
      <c r="S3" s="800" t="s">
        <v>88</v>
      </c>
      <c r="T3" s="800"/>
      <c r="U3" s="800" t="s">
        <v>94</v>
      </c>
      <c r="V3" s="800"/>
      <c r="W3" s="800" t="s">
        <v>90</v>
      </c>
      <c r="X3" s="800"/>
      <c r="Y3" s="798" t="s">
        <v>7</v>
      </c>
      <c r="Z3" s="799" t="s">
        <v>5</v>
      </c>
      <c r="AA3" s="799" t="s">
        <v>89</v>
      </c>
      <c r="AB3" s="799" t="s">
        <v>88</v>
      </c>
      <c r="AC3" s="799" t="s">
        <v>94</v>
      </c>
      <c r="AD3" s="799" t="s">
        <v>90</v>
      </c>
      <c r="AE3" s="799" t="s">
        <v>14</v>
      </c>
      <c r="AF3" s="799" t="s">
        <v>6</v>
      </c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</row>
    <row r="4" spans="1:70" ht="13.5" customHeight="1">
      <c r="B4" s="790"/>
      <c r="C4" s="791"/>
      <c r="D4" s="791"/>
      <c r="E4" s="792"/>
      <c r="F4" s="792"/>
      <c r="G4" s="792"/>
      <c r="H4" s="793"/>
      <c r="I4" s="793"/>
      <c r="J4" s="793"/>
      <c r="K4" s="793"/>
      <c r="L4" s="793"/>
      <c r="M4" s="793"/>
      <c r="N4" s="793"/>
      <c r="O4" s="793"/>
      <c r="P4" s="798"/>
      <c r="Q4" s="800"/>
      <c r="R4" s="800"/>
      <c r="S4" s="800"/>
      <c r="T4" s="800"/>
      <c r="U4" s="800"/>
      <c r="V4" s="800"/>
      <c r="W4" s="800"/>
      <c r="X4" s="800"/>
      <c r="Y4" s="798"/>
      <c r="Z4" s="799"/>
      <c r="AA4" s="799"/>
      <c r="AB4" s="799"/>
      <c r="AC4" s="799"/>
      <c r="AD4" s="799"/>
      <c r="AE4" s="799"/>
      <c r="AF4" s="799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</row>
    <row r="5" spans="1:70" ht="18.75" customHeight="1">
      <c r="B5" s="790"/>
      <c r="C5" s="791"/>
      <c r="D5" s="791"/>
      <c r="E5" s="791" t="s">
        <v>2</v>
      </c>
      <c r="F5" s="791" t="s">
        <v>13</v>
      </c>
      <c r="G5" s="791" t="s">
        <v>12</v>
      </c>
      <c r="H5" s="793"/>
      <c r="I5" s="793"/>
      <c r="J5" s="793"/>
      <c r="K5" s="793"/>
      <c r="L5" s="793"/>
      <c r="M5" s="793"/>
      <c r="N5" s="793"/>
      <c r="O5" s="793"/>
      <c r="P5" s="798"/>
      <c r="Q5" s="800"/>
      <c r="R5" s="800"/>
      <c r="S5" s="800"/>
      <c r="T5" s="800"/>
      <c r="U5" s="800"/>
      <c r="V5" s="800"/>
      <c r="W5" s="800"/>
      <c r="X5" s="800"/>
      <c r="Y5" s="798"/>
      <c r="Z5" s="799"/>
      <c r="AA5" s="799"/>
      <c r="AB5" s="799"/>
      <c r="AC5" s="799"/>
      <c r="AD5" s="799"/>
      <c r="AE5" s="799"/>
      <c r="AF5" s="799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</row>
    <row r="6" spans="1:70" ht="45.75" customHeight="1">
      <c r="B6" s="790"/>
      <c r="C6" s="791"/>
      <c r="D6" s="791"/>
      <c r="E6" s="791"/>
      <c r="F6" s="791"/>
      <c r="G6" s="791"/>
      <c r="H6" s="103" t="s">
        <v>15</v>
      </c>
      <c r="I6" s="103" t="s">
        <v>16</v>
      </c>
      <c r="J6" s="103" t="s">
        <v>15</v>
      </c>
      <c r="K6" s="103" t="s">
        <v>16</v>
      </c>
      <c r="L6" s="103" t="s">
        <v>15</v>
      </c>
      <c r="M6" s="103" t="s">
        <v>16</v>
      </c>
      <c r="N6" s="103" t="s">
        <v>15</v>
      </c>
      <c r="O6" s="103" t="s">
        <v>16</v>
      </c>
      <c r="P6" s="798"/>
      <c r="Q6" s="103" t="s">
        <v>15</v>
      </c>
      <c r="R6" s="103" t="s">
        <v>16</v>
      </c>
      <c r="S6" s="103" t="s">
        <v>15</v>
      </c>
      <c r="T6" s="103" t="s">
        <v>16</v>
      </c>
      <c r="U6" s="103" t="s">
        <v>15</v>
      </c>
      <c r="V6" s="103" t="s">
        <v>16</v>
      </c>
      <c r="W6" s="103" t="s">
        <v>15</v>
      </c>
      <c r="X6" s="103" t="s">
        <v>16</v>
      </c>
      <c r="Y6" s="798"/>
      <c r="Z6" s="799"/>
      <c r="AA6" s="799"/>
      <c r="AB6" s="799"/>
      <c r="AC6" s="799"/>
      <c r="AD6" s="799"/>
      <c r="AE6" s="799"/>
      <c r="AF6" s="799"/>
    </row>
    <row r="7" spans="1:70" ht="24.75" customHeight="1">
      <c r="A7" s="794" t="s">
        <v>109</v>
      </c>
      <c r="B7" s="795" t="str">
        <f>'[2]I rok'!A46</f>
        <v>* Zajęcia fakultatywne (student w każdym semestrze wybiera 2 z 3)</v>
      </c>
      <c r="C7" s="796"/>
      <c r="D7" s="796"/>
      <c r="E7" s="796"/>
      <c r="F7" s="796"/>
      <c r="G7" s="796"/>
      <c r="H7" s="796"/>
      <c r="I7" s="796"/>
      <c r="J7" s="796"/>
      <c r="K7" s="796"/>
      <c r="L7" s="796"/>
      <c r="M7" s="796"/>
      <c r="N7" s="796"/>
      <c r="O7" s="796"/>
      <c r="P7" s="796"/>
      <c r="Q7" s="796"/>
      <c r="R7" s="796"/>
      <c r="S7" s="796"/>
      <c r="T7" s="796"/>
      <c r="U7" s="796"/>
      <c r="V7" s="796"/>
      <c r="W7" s="796"/>
      <c r="X7" s="796"/>
      <c r="Y7" s="796"/>
      <c r="Z7" s="796"/>
      <c r="AA7" s="796"/>
      <c r="AB7" s="796"/>
      <c r="AC7" s="796"/>
      <c r="AD7" s="796"/>
      <c r="AE7" s="796"/>
      <c r="AF7" s="797"/>
    </row>
    <row r="8" spans="1:70" ht="24.75" customHeight="1">
      <c r="A8" s="794"/>
      <c r="B8" s="79">
        <v>1</v>
      </c>
      <c r="C8" s="105" t="s">
        <v>112</v>
      </c>
      <c r="D8" s="106" t="str">
        <f>"0912-7LEK-F-"&amp;B8&amp;"-"&amp;UPPER(LEFT(C8,1))&amp;"HKN"</f>
        <v>0912-7LEK-F-1-ZHKN</v>
      </c>
      <c r="E8" s="107"/>
      <c r="F8" s="108">
        <v>1</v>
      </c>
      <c r="G8" s="109"/>
      <c r="H8" s="282">
        <v>10</v>
      </c>
      <c r="I8" s="79">
        <v>15</v>
      </c>
      <c r="J8" s="79"/>
      <c r="K8" s="79"/>
      <c r="L8" s="79"/>
      <c r="M8" s="79"/>
      <c r="N8" s="79"/>
      <c r="O8" s="79"/>
      <c r="P8" s="109">
        <v>1</v>
      </c>
      <c r="Q8" s="282"/>
      <c r="R8" s="79"/>
      <c r="S8" s="79"/>
      <c r="T8" s="79"/>
      <c r="U8" s="79"/>
      <c r="V8" s="79"/>
      <c r="W8" s="79"/>
      <c r="X8" s="79"/>
      <c r="Y8" s="109"/>
      <c r="Z8" s="282">
        <v>10</v>
      </c>
      <c r="AA8" s="79">
        <v>10</v>
      </c>
      <c r="AB8" s="79"/>
      <c r="AC8" s="79"/>
      <c r="AD8" s="79"/>
      <c r="AE8" s="79">
        <f>SUM(H8:O8,Q8:X8)</f>
        <v>25</v>
      </c>
      <c r="AF8" s="79">
        <f>SUM(P8,Y8)</f>
        <v>1</v>
      </c>
    </row>
    <row r="9" spans="1:70" ht="24.75" customHeight="1">
      <c r="A9" s="794"/>
      <c r="B9" s="79">
        <v>2</v>
      </c>
      <c r="C9" s="85" t="s">
        <v>121</v>
      </c>
      <c r="D9" s="111" t="s">
        <v>320</v>
      </c>
      <c r="E9" s="107"/>
      <c r="F9" s="108">
        <v>2</v>
      </c>
      <c r="G9" s="109"/>
      <c r="H9" s="288">
        <v>10</v>
      </c>
      <c r="I9" s="79">
        <v>15</v>
      </c>
      <c r="J9" s="79"/>
      <c r="K9" s="79"/>
      <c r="L9" s="79"/>
      <c r="M9" s="79"/>
      <c r="N9" s="79"/>
      <c r="O9" s="79"/>
      <c r="P9" s="109">
        <v>1</v>
      </c>
      <c r="Q9" s="288"/>
      <c r="R9" s="79"/>
      <c r="S9" s="79"/>
      <c r="T9" s="79"/>
      <c r="U9" s="79"/>
      <c r="V9" s="79"/>
      <c r="W9" s="79"/>
      <c r="X9" s="79"/>
      <c r="Y9" s="109">
        <v>1</v>
      </c>
      <c r="Z9" s="296">
        <v>10</v>
      </c>
      <c r="AA9" s="79">
        <v>10</v>
      </c>
      <c r="AB9" s="79"/>
      <c r="AC9" s="79"/>
      <c r="AD9" s="79"/>
      <c r="AE9" s="79">
        <v>25</v>
      </c>
      <c r="AF9" s="79">
        <v>1</v>
      </c>
    </row>
    <row r="10" spans="1:70" ht="24.75" customHeight="1">
      <c r="A10" s="794"/>
      <c r="B10" s="79">
        <v>3</v>
      </c>
      <c r="C10" s="85" t="str">
        <f>'[2]I rok'!B50</f>
        <v>Struktury ciała ludzkiego w badaniach obrazowych</v>
      </c>
      <c r="D10" s="133" t="str">
        <f>'I rok'!$C$51</f>
        <v>0912-7LEK-F-3-SC</v>
      </c>
      <c r="E10" s="107"/>
      <c r="F10" s="108">
        <f>'[2]I rok'!E50</f>
        <v>2</v>
      </c>
      <c r="G10" s="109"/>
      <c r="H10" s="282"/>
      <c r="I10" s="79"/>
      <c r="J10" s="79"/>
      <c r="K10" s="79"/>
      <c r="L10" s="79"/>
      <c r="M10" s="79"/>
      <c r="N10" s="79"/>
      <c r="O10" s="79"/>
      <c r="P10" s="109"/>
      <c r="Q10" s="282">
        <v>10</v>
      </c>
      <c r="R10" s="79">
        <v>15</v>
      </c>
      <c r="S10" s="79"/>
      <c r="T10" s="79"/>
      <c r="U10" s="79"/>
      <c r="V10" s="79"/>
      <c r="W10" s="79"/>
      <c r="X10" s="79"/>
      <c r="Y10" s="109">
        <f>'[2]I rok'!X50</f>
        <v>1</v>
      </c>
      <c r="Z10" s="296">
        <v>10</v>
      </c>
      <c r="AA10" s="79">
        <v>10</v>
      </c>
      <c r="AB10" s="79"/>
      <c r="AC10" s="79"/>
      <c r="AD10" s="79"/>
      <c r="AE10" s="79">
        <f>'[2]I rok'!AD50</f>
        <v>25</v>
      </c>
      <c r="AF10" s="79">
        <f>'[2]I rok'!AE50</f>
        <v>1</v>
      </c>
    </row>
    <row r="11" spans="1:70" ht="24.75" customHeight="1">
      <c r="A11" s="794"/>
      <c r="B11" s="79">
        <v>4</v>
      </c>
      <c r="C11" s="85" t="str">
        <f>'[2]I rok'!B51</f>
        <v>Strukturalne podstawy interwencji sercowo-naczyniowych</v>
      </c>
      <c r="D11" s="133" t="str">
        <f>'I rok'!$C$52</f>
        <v>0912-7LEK-F-4-SSP</v>
      </c>
      <c r="E11" s="107"/>
      <c r="F11" s="108">
        <f>'[2]I rok'!E51</f>
        <v>2</v>
      </c>
      <c r="G11" s="109"/>
      <c r="H11" s="282"/>
      <c r="I11" s="79"/>
      <c r="J11" s="79"/>
      <c r="K11" s="79"/>
      <c r="L11" s="79"/>
      <c r="M11" s="79"/>
      <c r="N11" s="79"/>
      <c r="O11" s="79"/>
      <c r="P11" s="109"/>
      <c r="Q11" s="282">
        <v>10</v>
      </c>
      <c r="R11" s="79">
        <v>15</v>
      </c>
      <c r="S11" s="79"/>
      <c r="T11" s="79"/>
      <c r="U11" s="79"/>
      <c r="V11" s="79"/>
      <c r="W11" s="79"/>
      <c r="X11" s="79"/>
      <c r="Y11" s="109">
        <f>'[2]I rok'!X51</f>
        <v>1</v>
      </c>
      <c r="Z11" s="296">
        <v>10</v>
      </c>
      <c r="AA11" s="79">
        <v>10</v>
      </c>
      <c r="AB11" s="79"/>
      <c r="AC11" s="79"/>
      <c r="AD11" s="79"/>
      <c r="AE11" s="79">
        <f>'[2]I rok'!AD51</f>
        <v>25</v>
      </c>
      <c r="AF11" s="79">
        <f>'[2]I rok'!AE51</f>
        <v>1</v>
      </c>
    </row>
    <row r="12" spans="1:70" ht="24.75" customHeight="1">
      <c r="A12" s="794" t="s">
        <v>118</v>
      </c>
      <c r="B12" s="804" t="str">
        <f>'[2]II rok'!A46</f>
        <v>* Zajęcia fakultatywne (student wybiera w 3 semestrze 3 z 5; w 4 semestrze 3 z 6)</v>
      </c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  <c r="O12" s="805"/>
      <c r="P12" s="805"/>
      <c r="Q12" s="805"/>
      <c r="R12" s="805"/>
      <c r="S12" s="805"/>
      <c r="T12" s="805"/>
      <c r="U12" s="805"/>
      <c r="V12" s="805"/>
      <c r="W12" s="805"/>
      <c r="X12" s="805"/>
      <c r="Y12" s="805"/>
      <c r="Z12" s="805"/>
      <c r="AA12" s="805"/>
      <c r="AB12" s="805"/>
      <c r="AC12" s="805"/>
      <c r="AD12" s="805"/>
      <c r="AE12" s="805"/>
      <c r="AF12" s="806"/>
    </row>
    <row r="13" spans="1:70" ht="24.75" customHeight="1">
      <c r="A13" s="794"/>
      <c r="B13" s="118" t="s">
        <v>141</v>
      </c>
      <c r="C13" s="112" t="str">
        <f>'[2]II rok'!B48</f>
        <v>Praktyka medyczna oparta na dowodach naukowych (EBM)</v>
      </c>
      <c r="D13" s="133" t="s">
        <v>372</v>
      </c>
      <c r="E13" s="114"/>
      <c r="F13" s="115">
        <f>'[2]II rok'!E48</f>
        <v>3</v>
      </c>
      <c r="G13" s="116"/>
      <c r="H13" s="117"/>
      <c r="I13" s="118"/>
      <c r="J13" s="118" t="s">
        <v>148</v>
      </c>
      <c r="K13" s="118" t="s">
        <v>141</v>
      </c>
      <c r="L13" s="118"/>
      <c r="M13" s="118"/>
      <c r="N13" s="118"/>
      <c r="O13" s="118"/>
      <c r="P13" s="116">
        <f>'[2]II rok'!O48</f>
        <v>1</v>
      </c>
      <c r="Q13" s="117"/>
      <c r="R13" s="118"/>
      <c r="S13" s="118"/>
      <c r="T13" s="118"/>
      <c r="U13" s="118"/>
      <c r="V13" s="118"/>
      <c r="W13" s="118"/>
      <c r="X13" s="118"/>
      <c r="Y13" s="116"/>
      <c r="Z13" s="117" t="s">
        <v>148</v>
      </c>
      <c r="AA13" s="118"/>
      <c r="AB13" s="118" t="s">
        <v>148</v>
      </c>
      <c r="AC13" s="118"/>
      <c r="AD13" s="118"/>
      <c r="AE13" s="118">
        <f>'[2]II rok'!AD48</f>
        <v>25</v>
      </c>
      <c r="AF13" s="118">
        <f>'[2]II rok'!AE48</f>
        <v>1</v>
      </c>
    </row>
    <row r="14" spans="1:70" ht="24.75" customHeight="1">
      <c r="A14" s="794"/>
      <c r="B14" s="118" t="s">
        <v>142</v>
      </c>
      <c r="C14" s="112" t="str">
        <f>'[2]II rok'!B49</f>
        <v>Żywność modyfikowana genetycznie</v>
      </c>
      <c r="D14" s="133" t="s">
        <v>373</v>
      </c>
      <c r="E14" s="114"/>
      <c r="F14" s="115">
        <f>'[2]II rok'!E49</f>
        <v>3</v>
      </c>
      <c r="G14" s="116"/>
      <c r="H14" s="117" t="s">
        <v>128</v>
      </c>
      <c r="I14" s="118" t="s">
        <v>136</v>
      </c>
      <c r="J14" s="118"/>
      <c r="K14" s="118"/>
      <c r="L14" s="118"/>
      <c r="M14" s="118"/>
      <c r="N14" s="118"/>
      <c r="O14" s="118"/>
      <c r="P14" s="116">
        <f>'[2]II rok'!O49</f>
        <v>1</v>
      </c>
      <c r="Q14" s="117"/>
      <c r="R14" s="118"/>
      <c r="S14" s="118"/>
      <c r="T14" s="118"/>
      <c r="U14" s="118"/>
      <c r="V14" s="118"/>
      <c r="W14" s="118"/>
      <c r="X14" s="118"/>
      <c r="Y14" s="116"/>
      <c r="Z14" s="117" t="s">
        <v>128</v>
      </c>
      <c r="AA14" s="118">
        <f>'[2]II rok'!Z49</f>
        <v>15</v>
      </c>
      <c r="AB14" s="118"/>
      <c r="AC14" s="118"/>
      <c r="AD14" s="118"/>
      <c r="AE14" s="118">
        <f>'[2]II rok'!AD49</f>
        <v>25</v>
      </c>
      <c r="AF14" s="118">
        <f>'[2]II rok'!AE49</f>
        <v>1</v>
      </c>
    </row>
    <row r="15" spans="1:70" ht="24.75" customHeight="1">
      <c r="A15" s="794"/>
      <c r="B15" s="118" t="s">
        <v>143</v>
      </c>
      <c r="C15" s="112" t="str">
        <f>'[2]II rok'!B51</f>
        <v>Molekularne podstawy działania narządów zmysłów</v>
      </c>
      <c r="D15" s="133" t="str">
        <f>'II rok'!$C$52</f>
        <v>0912-7LEK-F7-RA</v>
      </c>
      <c r="E15" s="114"/>
      <c r="F15" s="115">
        <f>'[2]II rok'!E51</f>
        <v>3</v>
      </c>
      <c r="G15" s="116"/>
      <c r="H15" s="117" t="s">
        <v>128</v>
      </c>
      <c r="I15" s="118" t="s">
        <v>136</v>
      </c>
      <c r="J15" s="118"/>
      <c r="K15" s="118"/>
      <c r="L15" s="118"/>
      <c r="M15" s="118"/>
      <c r="N15" s="118"/>
      <c r="O15" s="118"/>
      <c r="P15" s="116">
        <f>'[2]II rok'!O51</f>
        <v>1</v>
      </c>
      <c r="Q15" s="117"/>
      <c r="R15" s="118"/>
      <c r="S15" s="118"/>
      <c r="T15" s="118"/>
      <c r="U15" s="118"/>
      <c r="V15" s="118"/>
      <c r="W15" s="118"/>
      <c r="X15" s="118"/>
      <c r="Y15" s="116"/>
      <c r="Z15" s="117" t="s">
        <v>128</v>
      </c>
      <c r="AA15" s="118">
        <f>'[2]II rok'!Z51</f>
        <v>15</v>
      </c>
      <c r="AB15" s="118"/>
      <c r="AC15" s="118"/>
      <c r="AD15" s="118"/>
      <c r="AE15" s="118">
        <f>'[2]II rok'!AD51</f>
        <v>25</v>
      </c>
      <c r="AF15" s="118">
        <f>'[2]II rok'!AE51</f>
        <v>1</v>
      </c>
    </row>
    <row r="16" spans="1:70" ht="24.75" customHeight="1">
      <c r="A16" s="794"/>
      <c r="B16" s="118" t="s">
        <v>140</v>
      </c>
      <c r="C16" s="112" t="str">
        <f>'[2]II rok'!B52</f>
        <v xml:space="preserve">Racjonalna antybiotykoterapia </v>
      </c>
      <c r="D16" s="133" t="str">
        <f>'II rok'!$C$53</f>
        <v>0912-7LEK-F8-MP</v>
      </c>
      <c r="E16" s="114"/>
      <c r="F16" s="115">
        <f>'[2]II rok'!E52</f>
        <v>3</v>
      </c>
      <c r="G16" s="116"/>
      <c r="H16" s="117" t="s">
        <v>128</v>
      </c>
      <c r="I16" s="118" t="s">
        <v>136</v>
      </c>
      <c r="J16" s="118"/>
      <c r="K16" s="118"/>
      <c r="L16" s="118"/>
      <c r="M16" s="118"/>
      <c r="N16" s="118"/>
      <c r="O16" s="118"/>
      <c r="P16" s="116">
        <f>'[2]II rok'!O52</f>
        <v>1</v>
      </c>
      <c r="Q16" s="117"/>
      <c r="R16" s="118"/>
      <c r="S16" s="118"/>
      <c r="T16" s="118"/>
      <c r="U16" s="118"/>
      <c r="V16" s="118"/>
      <c r="W16" s="118"/>
      <c r="X16" s="118"/>
      <c r="Y16" s="116"/>
      <c r="Z16" s="117" t="s">
        <v>128</v>
      </c>
      <c r="AA16" s="118">
        <f>'[2]II rok'!Z52</f>
        <v>15</v>
      </c>
      <c r="AB16" s="118"/>
      <c r="AC16" s="118"/>
      <c r="AD16" s="118"/>
      <c r="AE16" s="118">
        <f>'[2]II rok'!AD52</f>
        <v>25</v>
      </c>
      <c r="AF16" s="118">
        <f>'[2]II rok'!AE52</f>
        <v>1</v>
      </c>
    </row>
    <row r="17" spans="1:32" ht="24.75" customHeight="1">
      <c r="A17" s="794"/>
      <c r="B17" s="118" t="s">
        <v>125</v>
      </c>
      <c r="C17" s="112" t="str">
        <f>'[2]II rok'!B53</f>
        <v xml:space="preserve">Inżynieria genetyczna </v>
      </c>
      <c r="D17" s="133" t="str">
        <f>'II rok'!C54</f>
        <v>0912-7LEK-F9-IG</v>
      </c>
      <c r="E17" s="114"/>
      <c r="F17" s="115">
        <f>'[2]II rok'!E53</f>
        <v>4</v>
      </c>
      <c r="G17" s="116"/>
      <c r="H17" s="117"/>
      <c r="I17" s="118"/>
      <c r="J17" s="118"/>
      <c r="K17" s="118"/>
      <c r="L17" s="118"/>
      <c r="M17" s="118"/>
      <c r="N17" s="118"/>
      <c r="O17" s="118"/>
      <c r="P17" s="116"/>
      <c r="Q17" s="117" t="s">
        <v>128</v>
      </c>
      <c r="R17" s="118" t="s">
        <v>136</v>
      </c>
      <c r="S17" s="118"/>
      <c r="T17" s="118"/>
      <c r="U17" s="118"/>
      <c r="V17" s="118"/>
      <c r="W17" s="118"/>
      <c r="X17" s="118"/>
      <c r="Y17" s="116">
        <f>'[2]II rok'!X53</f>
        <v>1</v>
      </c>
      <c r="Z17" s="117" t="s">
        <v>128</v>
      </c>
      <c r="AA17" s="118" t="s">
        <v>136</v>
      </c>
      <c r="AB17" s="118"/>
      <c r="AC17" s="118"/>
      <c r="AD17" s="118"/>
      <c r="AE17" s="118">
        <f>'[2]II rok'!AD53</f>
        <v>25</v>
      </c>
      <c r="AF17" s="118">
        <f>'[2]II rok'!AE53</f>
        <v>1</v>
      </c>
    </row>
    <row r="18" spans="1:32" ht="24.75" customHeight="1">
      <c r="A18" s="794"/>
      <c r="B18" s="118" t="s">
        <v>128</v>
      </c>
      <c r="C18" s="112" t="str">
        <f>'[2]II rok'!B55</f>
        <v>Elektrofizjologia</v>
      </c>
      <c r="D18" s="133" t="str">
        <f>'II rok'!C55</f>
        <v>0912-7LEK-F-10-Ef</v>
      </c>
      <c r="E18" s="114"/>
      <c r="F18" s="115">
        <f>'[2]II rok'!E55</f>
        <v>4</v>
      </c>
      <c r="G18" s="116"/>
      <c r="H18" s="117"/>
      <c r="I18" s="118"/>
      <c r="J18" s="118"/>
      <c r="K18" s="118"/>
      <c r="L18" s="118"/>
      <c r="M18" s="118"/>
      <c r="N18" s="118"/>
      <c r="O18" s="118"/>
      <c r="P18" s="116"/>
      <c r="Q18" s="117"/>
      <c r="R18" s="118"/>
      <c r="S18" s="118" t="s">
        <v>148</v>
      </c>
      <c r="T18" s="118" t="s">
        <v>141</v>
      </c>
      <c r="U18" s="118"/>
      <c r="V18" s="118"/>
      <c r="W18" s="118"/>
      <c r="X18" s="118"/>
      <c r="Y18" s="116">
        <f>'[2]II rok'!X55</f>
        <v>1</v>
      </c>
      <c r="Z18" s="117" t="s">
        <v>148</v>
      </c>
      <c r="AA18" s="118"/>
      <c r="AB18" s="118" t="s">
        <v>148</v>
      </c>
      <c r="AC18" s="118"/>
      <c r="AD18" s="118"/>
      <c r="AE18" s="118">
        <f>'[2]II rok'!AD55</f>
        <v>25</v>
      </c>
      <c r="AF18" s="118">
        <f>'[2]II rok'!AE55</f>
        <v>1</v>
      </c>
    </row>
    <row r="19" spans="1:32" ht="24.75" customHeight="1">
      <c r="A19" s="794"/>
      <c r="B19" s="118" t="s">
        <v>129</v>
      </c>
      <c r="C19" s="112" t="str">
        <f>'[2]II rok'!B56</f>
        <v>Aparatura medyczna</v>
      </c>
      <c r="D19" s="133" t="str">
        <f>'II rok'!C56</f>
        <v>0912-7LEK-F-11-AM</v>
      </c>
      <c r="E19" s="114"/>
      <c r="F19" s="115">
        <f>'[2]II rok'!E56</f>
        <v>4</v>
      </c>
      <c r="G19" s="116"/>
      <c r="H19" s="117"/>
      <c r="I19" s="118"/>
      <c r="J19" s="118"/>
      <c r="K19" s="118"/>
      <c r="L19" s="118"/>
      <c r="M19" s="118"/>
      <c r="N19" s="118"/>
      <c r="O19" s="118"/>
      <c r="P19" s="116"/>
      <c r="Q19" s="117" t="s">
        <v>128</v>
      </c>
      <c r="R19" s="118" t="s">
        <v>136</v>
      </c>
      <c r="S19" s="118"/>
      <c r="T19" s="118"/>
      <c r="U19" s="118"/>
      <c r="V19" s="118"/>
      <c r="W19" s="118"/>
      <c r="X19" s="118"/>
      <c r="Y19" s="116">
        <f>'[2]II rok'!X56</f>
        <v>1</v>
      </c>
      <c r="Z19" s="117" t="s">
        <v>128</v>
      </c>
      <c r="AA19" s="118">
        <f>'[2]II rok'!Z56</f>
        <v>15</v>
      </c>
      <c r="AB19" s="118"/>
      <c r="AC19" s="118"/>
      <c r="AD19" s="118"/>
      <c r="AE19" s="118">
        <f>'[2]II rok'!AD56</f>
        <v>25</v>
      </c>
      <c r="AF19" s="118">
        <f>'[2]II rok'!AE56</f>
        <v>1</v>
      </c>
    </row>
    <row r="20" spans="1:32" ht="24.75" customHeight="1">
      <c r="A20" s="794"/>
      <c r="B20" s="118" t="s">
        <v>130</v>
      </c>
      <c r="C20" s="112" t="str">
        <f>'[2]II rok'!B57</f>
        <v>Immunologia onkologiczna</v>
      </c>
      <c r="D20" s="133" t="str">
        <f>'II rok'!C57</f>
        <v>0912-7LEK-F-12-IO</v>
      </c>
      <c r="E20" s="114"/>
      <c r="F20" s="115">
        <f>'[2]II rok'!E57</f>
        <v>4</v>
      </c>
      <c r="G20" s="116"/>
      <c r="H20" s="150"/>
      <c r="I20" s="151"/>
      <c r="J20" s="151"/>
      <c r="K20" s="151"/>
      <c r="L20" s="151"/>
      <c r="M20" s="151"/>
      <c r="N20" s="151"/>
      <c r="O20" s="151"/>
      <c r="P20" s="149"/>
      <c r="Q20" s="117" t="s">
        <v>128</v>
      </c>
      <c r="R20" s="118" t="s">
        <v>136</v>
      </c>
      <c r="S20" s="151"/>
      <c r="T20" s="151"/>
      <c r="U20" s="151"/>
      <c r="V20" s="151"/>
      <c r="W20" s="151"/>
      <c r="X20" s="151"/>
      <c r="Y20" s="149">
        <f>'[2]II rok'!X57</f>
        <v>1</v>
      </c>
      <c r="Z20" s="117" t="s">
        <v>128</v>
      </c>
      <c r="AA20" s="151">
        <f>'[2]II rok'!Z57</f>
        <v>15</v>
      </c>
      <c r="AB20" s="151"/>
      <c r="AC20" s="151"/>
      <c r="AD20" s="151"/>
      <c r="AE20" s="151">
        <f>'[2]II rok'!AD57</f>
        <v>25</v>
      </c>
      <c r="AF20" s="151">
        <f>'[2]II rok'!AE57</f>
        <v>1</v>
      </c>
    </row>
    <row r="21" spans="1:32" ht="24.75" customHeight="1">
      <c r="A21" s="283"/>
      <c r="B21" s="118" t="s">
        <v>131</v>
      </c>
      <c r="C21" s="167" t="s">
        <v>264</v>
      </c>
      <c r="D21" s="166" t="str">
        <f>'II rok'!C58</f>
        <v>0912-7LEK-F-13-HO</v>
      </c>
      <c r="E21" s="114"/>
      <c r="F21" s="115" t="s">
        <v>139</v>
      </c>
      <c r="G21" s="122"/>
      <c r="H21" s="114"/>
      <c r="I21" s="118"/>
      <c r="J21" s="118"/>
      <c r="K21" s="118"/>
      <c r="L21" s="118"/>
      <c r="M21" s="118"/>
      <c r="N21" s="118"/>
      <c r="O21" s="118"/>
      <c r="P21" s="116"/>
      <c r="Q21" s="117" t="s">
        <v>128</v>
      </c>
      <c r="R21" s="118" t="s">
        <v>136</v>
      </c>
      <c r="S21" s="118"/>
      <c r="T21" s="118"/>
      <c r="U21" s="118"/>
      <c r="V21" s="118"/>
      <c r="W21" s="118"/>
      <c r="X21" s="118"/>
      <c r="Y21" s="116">
        <f>'[2]II rok'!X58</f>
        <v>1</v>
      </c>
      <c r="Z21" s="117" t="s">
        <v>128</v>
      </c>
      <c r="AA21" s="118">
        <f>'[2]II rok'!Z58</f>
        <v>15</v>
      </c>
      <c r="AB21" s="118"/>
      <c r="AC21" s="118"/>
      <c r="AD21" s="118"/>
      <c r="AE21" s="118">
        <f>'[2]II rok'!AD58</f>
        <v>25</v>
      </c>
      <c r="AF21" s="118">
        <f>'[2]II rok'!AE58</f>
        <v>1</v>
      </c>
    </row>
    <row r="22" spans="1:32" ht="24.75" customHeight="1">
      <c r="A22" s="794" t="s">
        <v>144</v>
      </c>
      <c r="B22" s="804" t="str">
        <f>'III rok'!$A$42</f>
        <v>* Zajęcia fakultatywne (student wybiera w 5 semestrze 4 z 5 (2 w formie wykładowej i 2 w formie ćwiczeniowej); w 6 semestrze 3 z 4)</v>
      </c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N22" s="805"/>
      <c r="O22" s="805"/>
      <c r="P22" s="805"/>
      <c r="Q22" s="805"/>
      <c r="R22" s="805"/>
      <c r="S22" s="805"/>
      <c r="T22" s="805"/>
      <c r="U22" s="805"/>
      <c r="V22" s="805"/>
      <c r="W22" s="805"/>
      <c r="X22" s="805"/>
      <c r="Y22" s="805"/>
      <c r="Z22" s="805"/>
      <c r="AA22" s="805"/>
      <c r="AB22" s="805"/>
      <c r="AC22" s="805"/>
      <c r="AD22" s="805"/>
      <c r="AE22" s="805"/>
      <c r="AF22" s="806"/>
    </row>
    <row r="23" spans="1:32" ht="24.75" customHeight="1">
      <c r="A23" s="794"/>
      <c r="B23" s="118" t="s">
        <v>132</v>
      </c>
      <c r="C23" s="112" t="str">
        <f>'[2]III rok'!B43</f>
        <v>Patofizjologia nerek</v>
      </c>
      <c r="D23" s="133" t="str">
        <f>'III rok'!C44</f>
        <v>0912-7LEK-F-16-PN</v>
      </c>
      <c r="E23" s="114"/>
      <c r="F23" s="115">
        <f>'[2]III rok'!E43</f>
        <v>5</v>
      </c>
      <c r="G23" s="116"/>
      <c r="H23" s="117" t="s">
        <v>128</v>
      </c>
      <c r="I23" s="118" t="s">
        <v>136</v>
      </c>
      <c r="J23" s="118"/>
      <c r="K23" s="118"/>
      <c r="L23" s="118"/>
      <c r="M23" s="118"/>
      <c r="N23" s="118"/>
      <c r="O23" s="118"/>
      <c r="P23" s="116">
        <f>'[2]III rok'!O43</f>
        <v>1</v>
      </c>
      <c r="Q23" s="117"/>
      <c r="R23" s="118"/>
      <c r="S23" s="118"/>
      <c r="T23" s="118"/>
      <c r="U23" s="118"/>
      <c r="V23" s="118"/>
      <c r="W23" s="118"/>
      <c r="X23" s="118"/>
      <c r="Y23" s="116"/>
      <c r="Z23" s="117" t="s">
        <v>128</v>
      </c>
      <c r="AA23" s="118" t="s">
        <v>128</v>
      </c>
      <c r="AB23" s="118"/>
      <c r="AC23" s="118"/>
      <c r="AD23" s="118"/>
      <c r="AE23" s="118">
        <f>'[2]III rok'!AD43</f>
        <v>25</v>
      </c>
      <c r="AF23" s="118">
        <f>'[2]III rok'!AE43</f>
        <v>1</v>
      </c>
    </row>
    <row r="24" spans="1:32" ht="24.75" customHeight="1">
      <c r="A24" s="794"/>
      <c r="B24" s="118" t="s">
        <v>136</v>
      </c>
      <c r="C24" s="112" t="str">
        <f>'[2]III rok'!B44</f>
        <v xml:space="preserve">Patofizjologia trzustki </v>
      </c>
      <c r="D24" s="133" t="str">
        <f>'III rok'!C45</f>
        <v>0912-7LEK-F-17-PT</v>
      </c>
      <c r="E24" s="114"/>
      <c r="F24" s="115">
        <f>'[2]III rok'!E44</f>
        <v>5</v>
      </c>
      <c r="G24" s="116"/>
      <c r="H24" s="117" t="s">
        <v>128</v>
      </c>
      <c r="I24" s="118" t="s">
        <v>136</v>
      </c>
      <c r="J24" s="118"/>
      <c r="K24" s="118"/>
      <c r="L24" s="118"/>
      <c r="M24" s="118"/>
      <c r="N24" s="118"/>
      <c r="O24" s="118"/>
      <c r="P24" s="116">
        <f>'[2]III rok'!O44</f>
        <v>1</v>
      </c>
      <c r="Q24" s="117"/>
      <c r="R24" s="118"/>
      <c r="S24" s="118"/>
      <c r="T24" s="118"/>
      <c r="U24" s="118"/>
      <c r="V24" s="118"/>
      <c r="W24" s="118"/>
      <c r="X24" s="118"/>
      <c r="Y24" s="116"/>
      <c r="Z24" s="117" t="s">
        <v>128</v>
      </c>
      <c r="AA24" s="118" t="s">
        <v>128</v>
      </c>
      <c r="AB24" s="118"/>
      <c r="AC24" s="118"/>
      <c r="AD24" s="118"/>
      <c r="AE24" s="118">
        <f>'[2]III rok'!AD44</f>
        <v>25</v>
      </c>
      <c r="AF24" s="118">
        <f>'[2]III rok'!AE44</f>
        <v>1</v>
      </c>
    </row>
    <row r="25" spans="1:32" ht="24.75" customHeight="1">
      <c r="A25" s="794"/>
      <c r="B25" s="118" t="s">
        <v>137</v>
      </c>
      <c r="C25" s="85" t="str">
        <f>'[2]I rok'!B52</f>
        <v>Nowoczesne techniki mikroskopowe w medycynie</v>
      </c>
      <c r="D25" s="133" t="str">
        <f>'III rok'!$C$47</f>
        <v>0912-7LEK-F-19-NT</v>
      </c>
      <c r="E25" s="114"/>
      <c r="F25" s="115" t="s">
        <v>141</v>
      </c>
      <c r="G25" s="116"/>
      <c r="H25" s="117"/>
      <c r="I25" s="118"/>
      <c r="J25" s="118" t="s">
        <v>128</v>
      </c>
      <c r="K25" s="118" t="s">
        <v>136</v>
      </c>
      <c r="L25" s="118"/>
      <c r="M25" s="118"/>
      <c r="N25" s="118"/>
      <c r="O25" s="118"/>
      <c r="P25" s="116" t="s">
        <v>232</v>
      </c>
      <c r="Q25" s="117"/>
      <c r="R25" s="118"/>
      <c r="S25" s="118"/>
      <c r="T25" s="118"/>
      <c r="U25" s="118"/>
      <c r="V25" s="118"/>
      <c r="W25" s="118"/>
      <c r="X25" s="118"/>
      <c r="Y25" s="116"/>
      <c r="Z25" s="117"/>
      <c r="AA25" s="118"/>
      <c r="AB25" s="118"/>
      <c r="AC25" s="118"/>
      <c r="AD25" s="118"/>
      <c r="AE25" s="118" t="s">
        <v>191</v>
      </c>
      <c r="AF25" s="118" t="s">
        <v>232</v>
      </c>
    </row>
    <row r="26" spans="1:32" ht="24.75" customHeight="1">
      <c r="A26" s="794"/>
      <c r="B26" s="118" t="s">
        <v>138</v>
      </c>
      <c r="C26" s="85" t="s">
        <v>196</v>
      </c>
      <c r="D26" s="133" t="str">
        <f>'III rok'!C46</f>
        <v>0912-7LEK-F-18-MPCT</v>
      </c>
      <c r="E26" s="114"/>
      <c r="F26" s="115"/>
      <c r="G26" s="116"/>
      <c r="H26" s="117" t="s">
        <v>128</v>
      </c>
      <c r="I26" s="118" t="s">
        <v>136</v>
      </c>
      <c r="J26" s="118"/>
      <c r="K26" s="118"/>
      <c r="L26" s="118"/>
      <c r="M26" s="118"/>
      <c r="N26" s="118"/>
      <c r="O26" s="118"/>
      <c r="P26" s="116" t="s">
        <v>232</v>
      </c>
      <c r="Q26" s="117"/>
      <c r="R26" s="118"/>
      <c r="S26" s="118"/>
      <c r="T26" s="118"/>
      <c r="U26" s="118"/>
      <c r="V26" s="118"/>
      <c r="W26" s="118"/>
      <c r="X26" s="118"/>
      <c r="Y26" s="116"/>
      <c r="Z26" s="117" t="s">
        <v>128</v>
      </c>
      <c r="AA26" s="118" t="s">
        <v>128</v>
      </c>
      <c r="AB26" s="118"/>
      <c r="AC26" s="118"/>
      <c r="AD26" s="118"/>
      <c r="AE26" s="118" t="s">
        <v>191</v>
      </c>
      <c r="AF26" s="118" t="s">
        <v>232</v>
      </c>
    </row>
    <row r="27" spans="1:32" ht="24.75" customHeight="1">
      <c r="A27" s="794"/>
      <c r="B27" s="118" t="s">
        <v>146</v>
      </c>
      <c r="C27" s="112" t="str">
        <f>'[2]III rok'!B46</f>
        <v>Interwencja kryzysowa
 (przedmiot realizowany w formie ćwiczeń)</v>
      </c>
      <c r="D27" s="133" t="str">
        <f>'III rok'!C48</f>
        <v>0912-7LEK-F-20-IK</v>
      </c>
      <c r="E27" s="114"/>
      <c r="F27" s="115">
        <f>'[2]III rok'!E46</f>
        <v>5</v>
      </c>
      <c r="G27" s="116"/>
      <c r="H27" s="117"/>
      <c r="I27" s="118"/>
      <c r="J27" s="118" t="s">
        <v>128</v>
      </c>
      <c r="K27" s="118" t="s">
        <v>136</v>
      </c>
      <c r="L27" s="118"/>
      <c r="M27" s="118"/>
      <c r="N27" s="118"/>
      <c r="O27" s="118"/>
      <c r="P27" s="116">
        <f>'[2]III rok'!O46</f>
        <v>1</v>
      </c>
      <c r="Q27" s="117"/>
      <c r="R27" s="118"/>
      <c r="S27" s="118"/>
      <c r="T27" s="118"/>
      <c r="U27" s="118"/>
      <c r="V27" s="118"/>
      <c r="W27" s="118"/>
      <c r="X27" s="118"/>
      <c r="Y27" s="116"/>
      <c r="Z27" s="117" t="s">
        <v>128</v>
      </c>
      <c r="AA27" s="118">
        <f>'[2]III rok'!Z46</f>
        <v>0</v>
      </c>
      <c r="AB27" s="118" t="s">
        <v>128</v>
      </c>
      <c r="AC27" s="118"/>
      <c r="AD27" s="118"/>
      <c r="AE27" s="118">
        <f>'[2]III rok'!AD46</f>
        <v>25</v>
      </c>
      <c r="AF27" s="118">
        <f>'[2]III rok'!AE46</f>
        <v>1</v>
      </c>
    </row>
    <row r="28" spans="1:32" ht="24.75" customHeight="1">
      <c r="A28" s="794"/>
      <c r="B28" s="118" t="s">
        <v>147</v>
      </c>
      <c r="C28" s="112" t="str">
        <f>'[2]III rok'!B47</f>
        <v>Język migowy 
 (przedmiot realizowany w formie ćwiczeń)</v>
      </c>
      <c r="D28" s="133" t="str">
        <f>'III rok'!C49</f>
        <v>0912-7LEK-F-21-JM</v>
      </c>
      <c r="E28" s="114"/>
      <c r="F28" s="115">
        <f>'[2]III rok'!E47</f>
        <v>5</v>
      </c>
      <c r="G28" s="116"/>
      <c r="H28" s="117"/>
      <c r="I28" s="118"/>
      <c r="J28" s="118" t="s">
        <v>128</v>
      </c>
      <c r="K28" s="118" t="s">
        <v>136</v>
      </c>
      <c r="L28" s="118"/>
      <c r="M28" s="118"/>
      <c r="N28" s="118"/>
      <c r="O28" s="118"/>
      <c r="P28" s="116">
        <f>'[2]III rok'!O47</f>
        <v>1</v>
      </c>
      <c r="Q28" s="117"/>
      <c r="R28" s="118"/>
      <c r="S28" s="118"/>
      <c r="T28" s="118"/>
      <c r="U28" s="118"/>
      <c r="V28" s="118"/>
      <c r="W28" s="118"/>
      <c r="X28" s="118"/>
      <c r="Y28" s="116"/>
      <c r="Z28" s="117" t="s">
        <v>128</v>
      </c>
      <c r="AA28" s="118">
        <f>'[2]III rok'!Z47</f>
        <v>0</v>
      </c>
      <c r="AB28" s="118" t="s">
        <v>128</v>
      </c>
      <c r="AC28" s="118"/>
      <c r="AD28" s="118"/>
      <c r="AE28" s="118">
        <f>'[2]III rok'!AD47</f>
        <v>25</v>
      </c>
      <c r="AF28" s="118">
        <f>'[2]III rok'!AE47</f>
        <v>1</v>
      </c>
    </row>
    <row r="29" spans="1:32" ht="24.75" customHeight="1">
      <c r="A29" s="794"/>
      <c r="B29" s="118" t="s">
        <v>148</v>
      </c>
      <c r="C29" s="85" t="str">
        <f>'[2]I rok'!B49</f>
        <v>Aktywne składniki materii żywej</v>
      </c>
      <c r="D29" s="111" t="str">
        <f>'[2]I rok'!C49</f>
        <v>0912-7LEK-F-3-ASMŻ</v>
      </c>
      <c r="E29" s="114"/>
      <c r="F29" s="115" t="s">
        <v>142</v>
      </c>
      <c r="G29" s="116"/>
      <c r="H29" s="117"/>
      <c r="I29" s="118"/>
      <c r="J29" s="118"/>
      <c r="K29" s="118"/>
      <c r="L29" s="118"/>
      <c r="M29" s="118"/>
      <c r="N29" s="118"/>
      <c r="O29" s="118"/>
      <c r="P29" s="116"/>
      <c r="Q29" s="117" t="s">
        <v>128</v>
      </c>
      <c r="R29" s="118" t="s">
        <v>136</v>
      </c>
      <c r="S29" s="118"/>
      <c r="T29" s="118"/>
      <c r="U29" s="118"/>
      <c r="V29" s="118"/>
      <c r="W29" s="118"/>
      <c r="X29" s="118"/>
      <c r="Y29" s="116"/>
      <c r="Z29" s="117" t="s">
        <v>128</v>
      </c>
      <c r="AA29" s="118" t="s">
        <v>128</v>
      </c>
      <c r="AB29" s="118"/>
      <c r="AC29" s="118"/>
      <c r="AD29" s="118"/>
      <c r="AE29" s="118" t="s">
        <v>191</v>
      </c>
      <c r="AF29" s="118" t="s">
        <v>232</v>
      </c>
    </row>
    <row r="30" spans="1:32" ht="24.75" customHeight="1">
      <c r="A30" s="794"/>
      <c r="B30" s="118" t="s">
        <v>149</v>
      </c>
      <c r="C30" s="112" t="str">
        <f>'[2]III rok'!B48</f>
        <v>Patomorfologia zmian zapalnych o różnej etiologii</v>
      </c>
      <c r="D30" s="133" t="str">
        <f>'III rok'!C50</f>
        <v>0912-7LEK-F-22-BM</v>
      </c>
      <c r="E30" s="114"/>
      <c r="F30" s="115">
        <f>'[2]III rok'!E48</f>
        <v>6</v>
      </c>
      <c r="G30" s="116"/>
      <c r="H30" s="117"/>
      <c r="I30" s="118"/>
      <c r="J30" s="118"/>
      <c r="K30" s="118"/>
      <c r="L30" s="118"/>
      <c r="M30" s="118"/>
      <c r="N30" s="118"/>
      <c r="O30" s="118"/>
      <c r="P30" s="116"/>
      <c r="Q30" s="117" t="s">
        <v>128</v>
      </c>
      <c r="R30" s="118" t="s">
        <v>136</v>
      </c>
      <c r="S30" s="118"/>
      <c r="T30" s="118"/>
      <c r="U30" s="118"/>
      <c r="V30" s="118"/>
      <c r="W30" s="118"/>
      <c r="X30" s="118"/>
      <c r="Y30" s="116">
        <f>'[2]III rok'!X48</f>
        <v>1</v>
      </c>
      <c r="Z30" s="117" t="s">
        <v>128</v>
      </c>
      <c r="AA30" s="118" t="s">
        <v>128</v>
      </c>
      <c r="AB30" s="118"/>
      <c r="AC30" s="118"/>
      <c r="AD30" s="118"/>
      <c r="AE30" s="118" t="s">
        <v>191</v>
      </c>
      <c r="AF30" s="118">
        <f>'[2]III rok'!AE48</f>
        <v>1</v>
      </c>
    </row>
    <row r="31" spans="1:32" ht="24.75" customHeight="1">
      <c r="A31" s="794"/>
      <c r="B31" s="118" t="s">
        <v>188</v>
      </c>
      <c r="C31" s="112" t="str">
        <f>'[2]III rok'!B49</f>
        <v>Specyfika narządowa raportów patomorfologicznych nowotworów</v>
      </c>
      <c r="D31" s="133" t="str">
        <f>'III rok'!C51</f>
        <v>0912-7LEK-F-23-EK</v>
      </c>
      <c r="E31" s="114"/>
      <c r="F31" s="115">
        <f>'[2]III rok'!E49</f>
        <v>6</v>
      </c>
      <c r="G31" s="116"/>
      <c r="H31" s="117"/>
      <c r="I31" s="118"/>
      <c r="J31" s="118"/>
      <c r="K31" s="118"/>
      <c r="L31" s="118"/>
      <c r="M31" s="118"/>
      <c r="N31" s="118"/>
      <c r="O31" s="118"/>
      <c r="P31" s="116"/>
      <c r="Q31" s="117" t="s">
        <v>128</v>
      </c>
      <c r="R31" s="118" t="s">
        <v>136</v>
      </c>
      <c r="S31" s="118"/>
      <c r="T31" s="118"/>
      <c r="U31" s="118"/>
      <c r="V31" s="118"/>
      <c r="W31" s="118"/>
      <c r="X31" s="118"/>
      <c r="Y31" s="116">
        <f>'[2]III rok'!X49</f>
        <v>1</v>
      </c>
      <c r="Z31" s="117" t="s">
        <v>128</v>
      </c>
      <c r="AA31" s="118" t="s">
        <v>128</v>
      </c>
      <c r="AB31" s="118"/>
      <c r="AC31" s="118"/>
      <c r="AD31" s="118"/>
      <c r="AE31" s="118">
        <f>'[2]III rok'!AD49</f>
        <v>25</v>
      </c>
      <c r="AF31" s="118">
        <f>'[2]III rok'!AE49</f>
        <v>1</v>
      </c>
    </row>
    <row r="32" spans="1:32" ht="24.75" customHeight="1">
      <c r="A32" s="794"/>
      <c r="B32" s="118" t="s">
        <v>189</v>
      </c>
      <c r="C32" s="112" t="str">
        <f>'[2]III rok'!B50</f>
        <v>Patofizjologia układu endokrynnego</v>
      </c>
      <c r="D32" s="133" t="str">
        <f>'III rok'!C52</f>
        <v>0912-7LEK-F-24-PUE</v>
      </c>
      <c r="E32" s="114"/>
      <c r="F32" s="115">
        <f>'[2]III rok'!E50</f>
        <v>6</v>
      </c>
      <c r="G32" s="116"/>
      <c r="H32" s="117"/>
      <c r="I32" s="118"/>
      <c r="J32" s="118"/>
      <c r="K32" s="118"/>
      <c r="L32" s="118"/>
      <c r="M32" s="118"/>
      <c r="N32" s="118"/>
      <c r="O32" s="118"/>
      <c r="P32" s="116"/>
      <c r="Q32" s="117" t="s">
        <v>128</v>
      </c>
      <c r="R32" s="118" t="s">
        <v>136</v>
      </c>
      <c r="S32" s="118"/>
      <c r="T32" s="118"/>
      <c r="U32" s="118"/>
      <c r="V32" s="118"/>
      <c r="W32" s="118"/>
      <c r="X32" s="118"/>
      <c r="Y32" s="116">
        <f>'[2]III rok'!X50</f>
        <v>1</v>
      </c>
      <c r="Z32" s="117" t="s">
        <v>128</v>
      </c>
      <c r="AA32" s="118" t="s">
        <v>128</v>
      </c>
      <c r="AB32" s="118"/>
      <c r="AC32" s="118"/>
      <c r="AD32" s="118"/>
      <c r="AE32" s="118">
        <f>'[2]III rok'!AD50</f>
        <v>25</v>
      </c>
      <c r="AF32" s="118">
        <f>'[2]III rok'!AE50</f>
        <v>1</v>
      </c>
    </row>
    <row r="33" spans="1:32" ht="24.75" customHeight="1">
      <c r="A33" s="794" t="s">
        <v>145</v>
      </c>
      <c r="B33" s="804" t="str">
        <f>'IV rok'!$A$43</f>
        <v>* Zajęcia fakultatywne ( student wybiera z grupy 9 przedmiotów: 3przedmioty w 7 semestrze oraz 3 przedmioty w 8 semestrze)</v>
      </c>
      <c r="C33" s="805"/>
      <c r="D33" s="805"/>
      <c r="E33" s="805"/>
      <c r="F33" s="805"/>
      <c r="G33" s="805"/>
      <c r="H33" s="805"/>
      <c r="I33" s="805"/>
      <c r="J33" s="805"/>
      <c r="K33" s="805"/>
      <c r="L33" s="805"/>
      <c r="M33" s="805"/>
      <c r="N33" s="805"/>
      <c r="O33" s="805"/>
      <c r="P33" s="805"/>
      <c r="Q33" s="805"/>
      <c r="R33" s="805"/>
      <c r="S33" s="805"/>
      <c r="T33" s="805"/>
      <c r="U33" s="805"/>
      <c r="V33" s="805"/>
      <c r="W33" s="805"/>
      <c r="X33" s="805"/>
      <c r="Y33" s="805"/>
      <c r="Z33" s="805"/>
      <c r="AA33" s="805"/>
      <c r="AB33" s="805"/>
      <c r="AC33" s="805"/>
      <c r="AD33" s="805"/>
      <c r="AE33" s="805"/>
      <c r="AF33" s="806"/>
    </row>
    <row r="34" spans="1:32" ht="24.75" customHeight="1">
      <c r="A34" s="794"/>
      <c r="B34" s="118" t="s">
        <v>190</v>
      </c>
      <c r="C34" s="112" t="str">
        <f>'[2]IV rok'!B43</f>
        <v>Dermatologia pediatryczna</v>
      </c>
      <c r="D34" s="133" t="str">
        <f>'IV rok'!C44</f>
        <v>0912-7LEK-F26-D</v>
      </c>
      <c r="E34" s="114"/>
      <c r="F34" s="115">
        <f>'[2]IV rok'!E43</f>
        <v>7</v>
      </c>
      <c r="G34" s="116"/>
      <c r="H34" s="117">
        <f>'[2]IV rok'!G43</f>
        <v>15</v>
      </c>
      <c r="I34" s="118">
        <f>'[2]IV rok'!H43</f>
        <v>10</v>
      </c>
      <c r="J34" s="118"/>
      <c r="K34" s="118"/>
      <c r="L34" s="118"/>
      <c r="M34" s="118"/>
      <c r="N34" s="118"/>
      <c r="O34" s="118"/>
      <c r="P34" s="116">
        <f>'[2]IV rok'!O43</f>
        <v>1</v>
      </c>
      <c r="Q34" s="117"/>
      <c r="R34" s="118"/>
      <c r="S34" s="118"/>
      <c r="T34" s="118"/>
      <c r="U34" s="118"/>
      <c r="V34" s="118"/>
      <c r="W34" s="118"/>
      <c r="X34" s="118"/>
      <c r="Y34" s="116"/>
      <c r="Z34" s="117">
        <f>'[2]IV rok'!Y43</f>
        <v>15</v>
      </c>
      <c r="AA34" s="118">
        <f>'[2]IV rok'!Z43</f>
        <v>15</v>
      </c>
      <c r="AB34" s="118"/>
      <c r="AC34" s="118"/>
      <c r="AD34" s="118"/>
      <c r="AE34" s="118">
        <f>'[2]IV rok'!AD43</f>
        <v>25</v>
      </c>
      <c r="AF34" s="118">
        <f>'[2]IV rok'!AE43</f>
        <v>1</v>
      </c>
    </row>
    <row r="35" spans="1:32" ht="24.75" customHeight="1">
      <c r="A35" s="794"/>
      <c r="B35" s="118" t="s">
        <v>191</v>
      </c>
      <c r="C35" s="112" t="str">
        <f>'[2]IV rok'!B44</f>
        <v>Farmakoekonomika</v>
      </c>
      <c r="D35" s="133" t="str">
        <f>'IV rok'!C45</f>
        <v>0912-7LEK-F27-F</v>
      </c>
      <c r="E35" s="114"/>
      <c r="F35" s="115">
        <f>'[2]IV rok'!E44</f>
        <v>7</v>
      </c>
      <c r="G35" s="116"/>
      <c r="H35" s="117">
        <f>'[2]IV rok'!G44</f>
        <v>15</v>
      </c>
      <c r="I35" s="118">
        <f>'[2]IV rok'!H44</f>
        <v>10</v>
      </c>
      <c r="J35" s="118"/>
      <c r="K35" s="118"/>
      <c r="L35" s="118"/>
      <c r="M35" s="118"/>
      <c r="N35" s="118"/>
      <c r="O35" s="118"/>
      <c r="P35" s="116">
        <f>'[2]IV rok'!O44</f>
        <v>1</v>
      </c>
      <c r="Q35" s="117"/>
      <c r="R35" s="118"/>
      <c r="S35" s="118"/>
      <c r="T35" s="118"/>
      <c r="U35" s="118"/>
      <c r="V35" s="118"/>
      <c r="W35" s="118"/>
      <c r="X35" s="118"/>
      <c r="Y35" s="116"/>
      <c r="Z35" s="117">
        <f>'[2]IV rok'!Y44</f>
        <v>15</v>
      </c>
      <c r="AA35" s="118">
        <f>'[2]IV rok'!Z44</f>
        <v>15</v>
      </c>
      <c r="AB35" s="118"/>
      <c r="AC35" s="118"/>
      <c r="AD35" s="118"/>
      <c r="AE35" s="118">
        <f>'[2]IV rok'!AD44</f>
        <v>25</v>
      </c>
      <c r="AF35" s="118">
        <f>'[2]IV rok'!AE44</f>
        <v>1</v>
      </c>
    </row>
    <row r="36" spans="1:32" ht="24.75" customHeight="1">
      <c r="A36" s="794"/>
      <c r="B36" s="118" t="s">
        <v>200</v>
      </c>
      <c r="C36" s="112" t="str">
        <f>'[2]IV rok'!B45</f>
        <v>Zakażenia wirusami przenoszonymi drogą krwi</v>
      </c>
      <c r="D36" s="133" t="str">
        <f>'IV rok'!C46</f>
        <v>0912-7LEK-F28-Z</v>
      </c>
      <c r="E36" s="114"/>
      <c r="F36" s="115">
        <f>'[2]IV rok'!E45</f>
        <v>7</v>
      </c>
      <c r="G36" s="116"/>
      <c r="H36" s="117">
        <f>'[2]IV rok'!G45</f>
        <v>15</v>
      </c>
      <c r="I36" s="118">
        <f>'[2]IV rok'!H45</f>
        <v>10</v>
      </c>
      <c r="J36" s="118"/>
      <c r="K36" s="118"/>
      <c r="L36" s="118"/>
      <c r="M36" s="118"/>
      <c r="N36" s="118"/>
      <c r="O36" s="118"/>
      <c r="P36" s="116">
        <f>'[2]IV rok'!O45</f>
        <v>1</v>
      </c>
      <c r="Q36" s="117"/>
      <c r="R36" s="118"/>
      <c r="S36" s="118"/>
      <c r="T36" s="118"/>
      <c r="U36" s="118"/>
      <c r="V36" s="118"/>
      <c r="W36" s="118"/>
      <c r="X36" s="118"/>
      <c r="Y36" s="116"/>
      <c r="Z36" s="117">
        <f>'[2]IV rok'!Y45</f>
        <v>15</v>
      </c>
      <c r="AA36" s="118">
        <f>'[2]IV rok'!Z45</f>
        <v>15</v>
      </c>
      <c r="AB36" s="118"/>
      <c r="AC36" s="118"/>
      <c r="AD36" s="118"/>
      <c r="AE36" s="118">
        <f>'[2]IV rok'!AD45</f>
        <v>25</v>
      </c>
      <c r="AF36" s="118">
        <f>'[2]IV rok'!AE45</f>
        <v>1</v>
      </c>
    </row>
    <row r="37" spans="1:32" ht="24.75" customHeight="1">
      <c r="A37" s="794"/>
      <c r="B37" s="118" t="s">
        <v>201</v>
      </c>
      <c r="C37" s="112" t="str">
        <f>'[2]IV rok'!B46</f>
        <v>Chirurgia endoskopowa i laparoskopowa</v>
      </c>
      <c r="D37" s="133" t="str">
        <f>'IV rok'!C47</f>
        <v>0912-7LEK-F29-C</v>
      </c>
      <c r="E37" s="114"/>
      <c r="F37" s="115">
        <f>'[2]IV rok'!E46</f>
        <v>8</v>
      </c>
      <c r="G37" s="116"/>
      <c r="H37" s="117"/>
      <c r="I37" s="118"/>
      <c r="J37" s="118"/>
      <c r="K37" s="118"/>
      <c r="L37" s="118"/>
      <c r="M37" s="118"/>
      <c r="N37" s="118"/>
      <c r="O37" s="118"/>
      <c r="P37" s="116"/>
      <c r="Q37" s="117">
        <f>'[2]IV rok'!P46</f>
        <v>15</v>
      </c>
      <c r="R37" s="118">
        <f>'[2]IV rok'!Q46</f>
        <v>10</v>
      </c>
      <c r="S37" s="118"/>
      <c r="T37" s="118"/>
      <c r="U37" s="118"/>
      <c r="V37" s="118"/>
      <c r="W37" s="118"/>
      <c r="X37" s="118"/>
      <c r="Y37" s="116">
        <f>'[2]IV rok'!X46</f>
        <v>1</v>
      </c>
      <c r="Z37" s="117">
        <f>'[2]IV rok'!Y46</f>
        <v>15</v>
      </c>
      <c r="AA37" s="118">
        <f>'[2]IV rok'!Z46</f>
        <v>15</v>
      </c>
      <c r="AB37" s="118"/>
      <c r="AC37" s="118"/>
      <c r="AD37" s="118"/>
      <c r="AE37" s="118">
        <f>'[2]IV rok'!AD46</f>
        <v>25</v>
      </c>
      <c r="AF37" s="118">
        <f>'[2]IV rok'!AE46</f>
        <v>1</v>
      </c>
    </row>
    <row r="38" spans="1:32" ht="24.75" customHeight="1">
      <c r="A38" s="794"/>
      <c r="B38" s="118" t="s">
        <v>202</v>
      </c>
      <c r="C38" s="112" t="str">
        <f>'[2]IV rok'!B47</f>
        <v>Pediatria - kardiologia dziecięca</v>
      </c>
      <c r="D38" s="133" t="str">
        <f>'IV rok'!C48</f>
        <v>0912-7LEK-F30-P</v>
      </c>
      <c r="E38" s="114"/>
      <c r="F38" s="115">
        <f>'[2]IV rok'!E47</f>
        <v>8</v>
      </c>
      <c r="G38" s="116"/>
      <c r="H38" s="117"/>
      <c r="I38" s="118"/>
      <c r="J38" s="118"/>
      <c r="K38" s="118"/>
      <c r="L38" s="118"/>
      <c r="M38" s="118"/>
      <c r="N38" s="118"/>
      <c r="O38" s="118"/>
      <c r="P38" s="116"/>
      <c r="Q38" s="117">
        <f>'[2]IV rok'!P47</f>
        <v>15</v>
      </c>
      <c r="R38" s="118">
        <f>'[2]IV rok'!Q47</f>
        <v>10</v>
      </c>
      <c r="S38" s="118"/>
      <c r="T38" s="118"/>
      <c r="U38" s="118"/>
      <c r="V38" s="118"/>
      <c r="W38" s="118"/>
      <c r="X38" s="118"/>
      <c r="Y38" s="116">
        <f>'[2]IV rok'!X47</f>
        <v>1</v>
      </c>
      <c r="Z38" s="117">
        <f>'[2]IV rok'!Y47</f>
        <v>15</v>
      </c>
      <c r="AA38" s="118">
        <f>'[2]IV rok'!Z47</f>
        <v>15</v>
      </c>
      <c r="AB38" s="118"/>
      <c r="AC38" s="118"/>
      <c r="AD38" s="118"/>
      <c r="AE38" s="118">
        <f>'[2]IV rok'!AD47</f>
        <v>25</v>
      </c>
      <c r="AF38" s="118">
        <f>'[2]IV rok'!AE47</f>
        <v>1</v>
      </c>
    </row>
    <row r="39" spans="1:32" ht="24.75" customHeight="1">
      <c r="A39" s="794"/>
      <c r="B39" s="118" t="s">
        <v>203</v>
      </c>
      <c r="C39" s="112" t="str">
        <f>'[2]IV rok'!B48</f>
        <v>Terapia bólu</v>
      </c>
      <c r="D39" s="133" t="str">
        <f>'IV rok'!C49</f>
        <v>0912-7LEK-D-T</v>
      </c>
      <c r="E39" s="114"/>
      <c r="F39" s="115">
        <f>'[2]IV rok'!E48</f>
        <v>8</v>
      </c>
      <c r="G39" s="116"/>
      <c r="H39" s="117"/>
      <c r="I39" s="118"/>
      <c r="J39" s="118"/>
      <c r="K39" s="118"/>
      <c r="L39" s="118"/>
      <c r="M39" s="118"/>
      <c r="N39" s="118"/>
      <c r="O39" s="118"/>
      <c r="P39" s="116"/>
      <c r="Q39" s="117">
        <f>'[2]IV rok'!P48</f>
        <v>15</v>
      </c>
      <c r="R39" s="118">
        <f>'[2]IV rok'!Q48</f>
        <v>10</v>
      </c>
      <c r="S39" s="118"/>
      <c r="T39" s="118"/>
      <c r="U39" s="118"/>
      <c r="V39" s="118"/>
      <c r="W39" s="118"/>
      <c r="X39" s="118"/>
      <c r="Y39" s="116">
        <f>'[2]IV rok'!X48</f>
        <v>1</v>
      </c>
      <c r="Z39" s="117">
        <f>'[2]IV rok'!Y48</f>
        <v>15</v>
      </c>
      <c r="AA39" s="118">
        <f>'[2]IV rok'!Z48</f>
        <v>15</v>
      </c>
      <c r="AB39" s="118"/>
      <c r="AC39" s="118"/>
      <c r="AD39" s="118"/>
      <c r="AE39" s="118">
        <f>'[2]IV rok'!AD48</f>
        <v>25</v>
      </c>
      <c r="AF39" s="118">
        <f>'[2]IV rok'!AE48</f>
        <v>1</v>
      </c>
    </row>
    <row r="40" spans="1:32" ht="24.75" customHeight="1">
      <c r="A40" s="794"/>
      <c r="B40" s="118" t="s">
        <v>245</v>
      </c>
      <c r="C40" s="112" t="str">
        <f>'[2]IV rok'!B49</f>
        <v>Choroby płuc</v>
      </c>
      <c r="D40" s="133" t="str">
        <f>'IV rok'!C50</f>
        <v>0912-7LEK-F-CP</v>
      </c>
      <c r="E40" s="114"/>
      <c r="F40" s="115">
        <f>'[2]IV rok'!E49</f>
        <v>8</v>
      </c>
      <c r="G40" s="116"/>
      <c r="H40" s="117"/>
      <c r="I40" s="118"/>
      <c r="J40" s="118"/>
      <c r="K40" s="118"/>
      <c r="L40" s="118"/>
      <c r="M40" s="118"/>
      <c r="N40" s="118"/>
      <c r="O40" s="118"/>
      <c r="P40" s="116"/>
      <c r="Q40" s="117">
        <f>'[2]IV rok'!P49</f>
        <v>15</v>
      </c>
      <c r="R40" s="118">
        <f>'[2]IV rok'!Q49</f>
        <v>10</v>
      </c>
      <c r="S40" s="118"/>
      <c r="T40" s="118"/>
      <c r="U40" s="118"/>
      <c r="V40" s="118"/>
      <c r="W40" s="118"/>
      <c r="X40" s="118"/>
      <c r="Y40" s="116">
        <f>'[2]IV rok'!X49</f>
        <v>1</v>
      </c>
      <c r="Z40" s="117">
        <f>'[2]IV rok'!Y49</f>
        <v>15</v>
      </c>
      <c r="AA40" s="118">
        <f>'[2]IV rok'!Z49</f>
        <v>15</v>
      </c>
      <c r="AB40" s="118"/>
      <c r="AC40" s="118"/>
      <c r="AD40" s="118"/>
      <c r="AE40" s="118">
        <f>'[2]IV rok'!AD49</f>
        <v>25</v>
      </c>
      <c r="AF40" s="118">
        <f>'[2]IV rok'!AE49</f>
        <v>1</v>
      </c>
    </row>
    <row r="41" spans="1:32" ht="24.75" customHeight="1">
      <c r="A41" s="794"/>
      <c r="B41" s="118" t="s">
        <v>204</v>
      </c>
      <c r="C41" s="112" t="str">
        <f>'[2]IV rok'!B50</f>
        <v>Chirurgia naczyniowa</v>
      </c>
      <c r="D41" s="133" t="str">
        <f>'IV rok'!C51</f>
        <v>0912-7LEK-F-CN</v>
      </c>
      <c r="E41" s="114"/>
      <c r="F41" s="115">
        <f>'[2]IV rok'!E50</f>
        <v>8</v>
      </c>
      <c r="G41" s="116"/>
      <c r="H41" s="117"/>
      <c r="I41" s="118"/>
      <c r="J41" s="118"/>
      <c r="K41" s="118"/>
      <c r="L41" s="118"/>
      <c r="M41" s="118"/>
      <c r="N41" s="118"/>
      <c r="O41" s="118"/>
      <c r="P41" s="116"/>
      <c r="Q41" s="117">
        <f>'[2]IV rok'!P50</f>
        <v>15</v>
      </c>
      <c r="R41" s="118">
        <f>'[2]IV rok'!Q50</f>
        <v>10</v>
      </c>
      <c r="S41" s="118"/>
      <c r="T41" s="118"/>
      <c r="U41" s="118"/>
      <c r="V41" s="118"/>
      <c r="W41" s="118"/>
      <c r="X41" s="118"/>
      <c r="Y41" s="116">
        <f>'[2]IV rok'!X50</f>
        <v>1</v>
      </c>
      <c r="Z41" s="117">
        <f>'[2]IV rok'!Y50</f>
        <v>15</v>
      </c>
      <c r="AA41" s="118">
        <f>'[2]IV rok'!Z50</f>
        <v>15</v>
      </c>
      <c r="AB41" s="118"/>
      <c r="AC41" s="118"/>
      <c r="AD41" s="118"/>
      <c r="AE41" s="118">
        <f>'[2]IV rok'!AD50</f>
        <v>25</v>
      </c>
      <c r="AF41" s="118">
        <f>'[2]IV rok'!AE50</f>
        <v>1</v>
      </c>
    </row>
    <row r="42" spans="1:32" ht="24.75" customHeight="1">
      <c r="A42" s="794"/>
      <c r="B42" s="118" t="s">
        <v>205</v>
      </c>
      <c r="C42" s="112" t="str">
        <f>'[2]IV rok'!B51</f>
        <v>Endokrynologia dziecieca</v>
      </c>
      <c r="D42" s="133" t="str">
        <f>'IV rok'!C52</f>
        <v>0912-7LEK-F-DK</v>
      </c>
      <c r="E42" s="114"/>
      <c r="F42" s="115">
        <f>'[2]IV rok'!E51</f>
        <v>8</v>
      </c>
      <c r="G42" s="116"/>
      <c r="H42" s="117" t="s">
        <v>136</v>
      </c>
      <c r="I42" s="118" t="s">
        <v>128</v>
      </c>
      <c r="J42" s="118"/>
      <c r="K42" s="118"/>
      <c r="L42" s="118"/>
      <c r="M42" s="118"/>
      <c r="N42" s="118"/>
      <c r="O42" s="118"/>
      <c r="P42" s="116"/>
      <c r="Q42" s="117"/>
      <c r="R42" s="118"/>
      <c r="S42" s="118"/>
      <c r="T42" s="118"/>
      <c r="U42" s="118"/>
      <c r="V42" s="118"/>
      <c r="W42" s="118"/>
      <c r="X42" s="118"/>
      <c r="Y42" s="116">
        <f>'[2]IV rok'!X51</f>
        <v>1</v>
      </c>
      <c r="Z42" s="117">
        <f>'[2]IV rok'!Y51</f>
        <v>15</v>
      </c>
      <c r="AA42" s="118">
        <f>'[2]IV rok'!Z51</f>
        <v>15</v>
      </c>
      <c r="AB42" s="118"/>
      <c r="AC42" s="118"/>
      <c r="AD42" s="118"/>
      <c r="AE42" s="118">
        <f>'[2]IV rok'!AD51</f>
        <v>25</v>
      </c>
      <c r="AF42" s="118">
        <f>'[2]IV rok'!AE51</f>
        <v>1</v>
      </c>
    </row>
    <row r="43" spans="1:32" ht="24.75" customHeight="1">
      <c r="A43" s="801" t="s">
        <v>158</v>
      </c>
      <c r="B43" s="804" t="str">
        <f>'V rok'!$A$51</f>
        <v>* Zajęcia fakultatywne (student wybiera z grupy 22 przedmiotów: 2 przedmioty w 9 semestrze oraz 1 przedmiot w 10 semestrze )</v>
      </c>
      <c r="C43" s="805"/>
      <c r="D43" s="805"/>
      <c r="E43" s="805"/>
      <c r="F43" s="805"/>
      <c r="G43" s="805"/>
      <c r="H43" s="805"/>
      <c r="I43" s="805"/>
      <c r="J43" s="805"/>
      <c r="K43" s="805"/>
      <c r="L43" s="805"/>
      <c r="M43" s="805"/>
      <c r="N43" s="805"/>
      <c r="O43" s="805"/>
      <c r="P43" s="805"/>
      <c r="Q43" s="805"/>
      <c r="R43" s="805"/>
      <c r="S43" s="805"/>
      <c r="T43" s="805"/>
      <c r="U43" s="805"/>
      <c r="V43" s="805"/>
      <c r="W43" s="805"/>
      <c r="X43" s="805"/>
      <c r="Y43" s="805"/>
      <c r="Z43" s="805"/>
      <c r="AA43" s="805"/>
      <c r="AB43" s="805"/>
      <c r="AC43" s="805"/>
      <c r="AD43" s="805"/>
      <c r="AE43" s="805"/>
      <c r="AF43" s="806"/>
    </row>
    <row r="44" spans="1:32" ht="24.75" customHeight="1">
      <c r="A44" s="802"/>
      <c r="B44" s="118" t="s">
        <v>206</v>
      </c>
      <c r="C44" s="112" t="str">
        <f>'[2]V rok'!B52</f>
        <v>Hipertensjologia</v>
      </c>
      <c r="D44" s="133" t="str">
        <f>'V rok'!C52</f>
        <v>0912-7LEK-F38-H</v>
      </c>
      <c r="E44" s="114"/>
      <c r="F44" s="115">
        <f>'[2]V rok'!E52</f>
        <v>9</v>
      </c>
      <c r="G44" s="116"/>
      <c r="H44" s="117" t="s">
        <v>128</v>
      </c>
      <c r="I44" s="118" t="s">
        <v>136</v>
      </c>
      <c r="J44" s="118" t="s">
        <v>136</v>
      </c>
      <c r="K44" s="118" t="s">
        <v>128</v>
      </c>
      <c r="L44" s="118"/>
      <c r="M44" s="118"/>
      <c r="N44" s="118"/>
      <c r="O44" s="118"/>
      <c r="P44" s="116" t="s">
        <v>233</v>
      </c>
      <c r="Q44" s="117"/>
      <c r="R44" s="118"/>
      <c r="S44" s="118"/>
      <c r="T44" s="118"/>
      <c r="U44" s="118"/>
      <c r="V44" s="118"/>
      <c r="W44" s="118"/>
      <c r="X44" s="118"/>
      <c r="Y44" s="116"/>
      <c r="Z44" s="117" t="s">
        <v>191</v>
      </c>
      <c r="AA44" s="118" t="s">
        <v>128</v>
      </c>
      <c r="AB44" s="118" t="s">
        <v>136</v>
      </c>
      <c r="AC44" s="118"/>
      <c r="AD44" s="118"/>
      <c r="AE44" s="118">
        <f>'[2]V rok'!AD52</f>
        <v>50</v>
      </c>
      <c r="AF44" s="118">
        <f>'[2]V rok'!AE52</f>
        <v>2</v>
      </c>
    </row>
    <row r="45" spans="1:32" ht="24.75" customHeight="1">
      <c r="A45" s="802"/>
      <c r="B45" s="118" t="s">
        <v>207</v>
      </c>
      <c r="C45" s="112" t="str">
        <f>'[2]V rok'!B53</f>
        <v>Gastroenterologia dziecięca</v>
      </c>
      <c r="D45" s="133" t="str">
        <f>'V rok'!C53</f>
        <v>0912-7LEK-F39-G</v>
      </c>
      <c r="E45" s="114"/>
      <c r="F45" s="115">
        <f>'[2]V rok'!E53</f>
        <v>9</v>
      </c>
      <c r="G45" s="116"/>
      <c r="H45" s="117" t="s">
        <v>128</v>
      </c>
      <c r="I45" s="118" t="s">
        <v>136</v>
      </c>
      <c r="J45" s="118" t="s">
        <v>136</v>
      </c>
      <c r="K45" s="118">
        <f>'[2]V rok'!J53</f>
        <v>10</v>
      </c>
      <c r="L45" s="118"/>
      <c r="M45" s="118"/>
      <c r="N45" s="118"/>
      <c r="O45" s="118"/>
      <c r="P45" s="116" t="s">
        <v>233</v>
      </c>
      <c r="Q45" s="117"/>
      <c r="R45" s="118"/>
      <c r="S45" s="118"/>
      <c r="T45" s="118"/>
      <c r="U45" s="118"/>
      <c r="V45" s="118"/>
      <c r="W45" s="118"/>
      <c r="X45" s="118"/>
      <c r="Y45" s="116"/>
      <c r="Z45" s="117" t="s">
        <v>191</v>
      </c>
      <c r="AA45" s="118" t="s">
        <v>128</v>
      </c>
      <c r="AB45" s="118" t="s">
        <v>136</v>
      </c>
      <c r="AC45" s="118"/>
      <c r="AD45" s="118"/>
      <c r="AE45" s="118">
        <f>'[2]V rok'!AD53</f>
        <v>50</v>
      </c>
      <c r="AF45" s="118">
        <f>'[2]V rok'!AE53</f>
        <v>2</v>
      </c>
    </row>
    <row r="46" spans="1:32" ht="24.75" customHeight="1">
      <c r="A46" s="802"/>
      <c r="B46" s="118" t="s">
        <v>208</v>
      </c>
      <c r="C46" s="112" t="str">
        <f>'[2]V rok'!B54</f>
        <v>Alergologia</v>
      </c>
      <c r="D46" s="133" t="str">
        <f>'V rok'!C54</f>
        <v>0912-7LEK-F40-A</v>
      </c>
      <c r="E46" s="114"/>
      <c r="F46" s="115">
        <f>'[2]V rok'!E54</f>
        <v>9</v>
      </c>
      <c r="G46" s="116"/>
      <c r="H46" s="117" t="s">
        <v>128</v>
      </c>
      <c r="I46" s="118" t="s">
        <v>136</v>
      </c>
      <c r="J46" s="118" t="s">
        <v>136</v>
      </c>
      <c r="K46" s="118">
        <f>'[2]V rok'!J54</f>
        <v>10</v>
      </c>
      <c r="L46" s="118"/>
      <c r="M46" s="118"/>
      <c r="N46" s="118"/>
      <c r="O46" s="118"/>
      <c r="P46" s="116" t="s">
        <v>233</v>
      </c>
      <c r="Q46" s="117"/>
      <c r="R46" s="118"/>
      <c r="S46" s="118"/>
      <c r="T46" s="118"/>
      <c r="U46" s="118"/>
      <c r="V46" s="118"/>
      <c r="W46" s="118"/>
      <c r="X46" s="118"/>
      <c r="Y46" s="116"/>
      <c r="Z46" s="117" t="s">
        <v>191</v>
      </c>
      <c r="AA46" s="118" t="s">
        <v>128</v>
      </c>
      <c r="AB46" s="118" t="s">
        <v>136</v>
      </c>
      <c r="AC46" s="118"/>
      <c r="AD46" s="118"/>
      <c r="AE46" s="118">
        <f>'[2]V rok'!AD54</f>
        <v>50</v>
      </c>
      <c r="AF46" s="118">
        <f>'[2]V rok'!AE54</f>
        <v>2</v>
      </c>
    </row>
    <row r="47" spans="1:32" ht="24.75" customHeight="1">
      <c r="A47" s="802"/>
      <c r="B47" s="118" t="s">
        <v>209</v>
      </c>
      <c r="C47" s="112" t="str">
        <f>'[2]V rok'!B55</f>
        <v>Kardiologia interwencyjna</v>
      </c>
      <c r="D47" s="133" t="str">
        <f>'V rok'!C55</f>
        <v>0912-7LEK-F41-K</v>
      </c>
      <c r="E47" s="114"/>
      <c r="F47" s="115">
        <f>'[2]V rok'!E55</f>
        <v>9</v>
      </c>
      <c r="G47" s="116"/>
      <c r="H47" s="117" t="s">
        <v>128</v>
      </c>
      <c r="I47" s="118" t="s">
        <v>136</v>
      </c>
      <c r="J47" s="118" t="s">
        <v>136</v>
      </c>
      <c r="K47" s="118">
        <f>'[2]V rok'!J55</f>
        <v>10</v>
      </c>
      <c r="L47" s="118"/>
      <c r="M47" s="118"/>
      <c r="N47" s="118"/>
      <c r="O47" s="118"/>
      <c r="P47" s="116" t="s">
        <v>233</v>
      </c>
      <c r="Q47" s="117"/>
      <c r="R47" s="118"/>
      <c r="S47" s="118"/>
      <c r="T47" s="118"/>
      <c r="U47" s="118"/>
      <c r="V47" s="118"/>
      <c r="W47" s="118"/>
      <c r="X47" s="118"/>
      <c r="Y47" s="116"/>
      <c r="Z47" s="117" t="s">
        <v>191</v>
      </c>
      <c r="AA47" s="118" t="s">
        <v>128</v>
      </c>
      <c r="AB47" s="118" t="s">
        <v>136</v>
      </c>
      <c r="AC47" s="118"/>
      <c r="AD47" s="118"/>
      <c r="AE47" s="118">
        <f>'[2]V rok'!AD55</f>
        <v>50</v>
      </c>
      <c r="AF47" s="118">
        <f>'[2]V rok'!AE55</f>
        <v>2</v>
      </c>
    </row>
    <row r="48" spans="1:32" ht="24.75" customHeight="1">
      <c r="A48" s="802"/>
      <c r="B48" s="118" t="s">
        <v>210</v>
      </c>
      <c r="C48" s="112" t="str">
        <f>'[2]V rok'!B56</f>
        <v>Żywienie kliniczne</v>
      </c>
      <c r="D48" s="133" t="str">
        <f>'V rok'!C56</f>
        <v>0912-7LEK-F42-Ż</v>
      </c>
      <c r="E48" s="114"/>
      <c r="F48" s="115">
        <f>'[2]V rok'!E56</f>
        <v>9</v>
      </c>
      <c r="G48" s="116"/>
      <c r="H48" s="117" t="s">
        <v>128</v>
      </c>
      <c r="I48" s="118" t="s">
        <v>136</v>
      </c>
      <c r="J48" s="118" t="s">
        <v>136</v>
      </c>
      <c r="K48" s="118">
        <f>'[2]V rok'!J56</f>
        <v>10</v>
      </c>
      <c r="L48" s="118"/>
      <c r="M48" s="118"/>
      <c r="N48" s="118"/>
      <c r="O48" s="118"/>
      <c r="P48" s="116" t="s">
        <v>233</v>
      </c>
      <c r="Q48" s="117"/>
      <c r="R48" s="118"/>
      <c r="S48" s="118"/>
      <c r="T48" s="118"/>
      <c r="U48" s="118"/>
      <c r="V48" s="118"/>
      <c r="W48" s="118"/>
      <c r="X48" s="118"/>
      <c r="Y48" s="116"/>
      <c r="Z48" s="117" t="s">
        <v>191</v>
      </c>
      <c r="AA48" s="118" t="s">
        <v>128</v>
      </c>
      <c r="AB48" s="118" t="s">
        <v>136</v>
      </c>
      <c r="AC48" s="118"/>
      <c r="AD48" s="118"/>
      <c r="AE48" s="118">
        <f>'[2]V rok'!AD56</f>
        <v>50</v>
      </c>
      <c r="AF48" s="118">
        <f>'[2]V rok'!AE56</f>
        <v>2</v>
      </c>
    </row>
    <row r="49" spans="1:32" ht="24.75" customHeight="1">
      <c r="A49" s="802"/>
      <c r="B49" s="118" t="s">
        <v>211</v>
      </c>
      <c r="C49" s="112" t="str">
        <f>'[2]V rok'!B57</f>
        <v>Anastezjologia i intensywna terapia dziecięca</v>
      </c>
      <c r="D49" s="133" t="str">
        <f>'V rok'!C57</f>
        <v>0912-7LEK-F43-A</v>
      </c>
      <c r="E49" s="114"/>
      <c r="F49" s="115">
        <f>'[2]V rok'!E57</f>
        <v>9</v>
      </c>
      <c r="G49" s="116"/>
      <c r="H49" s="117" t="s">
        <v>128</v>
      </c>
      <c r="I49" s="118" t="s">
        <v>136</v>
      </c>
      <c r="J49" s="118" t="s">
        <v>136</v>
      </c>
      <c r="K49" s="118">
        <f>'[2]V rok'!J57</f>
        <v>10</v>
      </c>
      <c r="L49" s="118"/>
      <c r="M49" s="118"/>
      <c r="N49" s="118"/>
      <c r="O49" s="118"/>
      <c r="P49" s="116" t="s">
        <v>233</v>
      </c>
      <c r="Q49" s="117"/>
      <c r="R49" s="118"/>
      <c r="S49" s="118"/>
      <c r="T49" s="118"/>
      <c r="U49" s="118"/>
      <c r="V49" s="118"/>
      <c r="W49" s="118"/>
      <c r="X49" s="118"/>
      <c r="Y49" s="116"/>
      <c r="Z49" s="117" t="s">
        <v>191</v>
      </c>
      <c r="AA49" s="118" t="s">
        <v>128</v>
      </c>
      <c r="AB49" s="118" t="s">
        <v>136</v>
      </c>
      <c r="AC49" s="118"/>
      <c r="AD49" s="118"/>
      <c r="AE49" s="118">
        <f>'[2]V rok'!AD57</f>
        <v>50</v>
      </c>
      <c r="AF49" s="118">
        <f>'[2]V rok'!AE57</f>
        <v>2</v>
      </c>
    </row>
    <row r="50" spans="1:32" ht="24.75" customHeight="1">
      <c r="A50" s="802"/>
      <c r="B50" s="118" t="s">
        <v>212</v>
      </c>
      <c r="C50" s="112" t="s">
        <v>331</v>
      </c>
      <c r="D50" s="133" t="str">
        <f>'V rok'!C58</f>
        <v>0912-7LEK-F44-L</v>
      </c>
      <c r="E50" s="114"/>
      <c r="F50" s="115">
        <f>'[2]V rok'!E58</f>
        <v>9</v>
      </c>
      <c r="G50" s="116"/>
      <c r="H50" s="117" t="s">
        <v>128</v>
      </c>
      <c r="I50" s="118" t="s">
        <v>136</v>
      </c>
      <c r="J50" s="118" t="s">
        <v>136</v>
      </c>
      <c r="K50" s="118">
        <f>'[2]V rok'!J58</f>
        <v>10</v>
      </c>
      <c r="L50" s="118"/>
      <c r="M50" s="118"/>
      <c r="N50" s="118"/>
      <c r="O50" s="118"/>
      <c r="P50" s="116" t="s">
        <v>233</v>
      </c>
      <c r="Q50" s="117"/>
      <c r="R50" s="118"/>
      <c r="S50" s="118"/>
      <c r="T50" s="118"/>
      <c r="U50" s="118"/>
      <c r="V50" s="118"/>
      <c r="W50" s="118"/>
      <c r="X50" s="118"/>
      <c r="Y50" s="116"/>
      <c r="Z50" s="117" t="s">
        <v>191</v>
      </c>
      <c r="AA50" s="118" t="s">
        <v>128</v>
      </c>
      <c r="AB50" s="118" t="s">
        <v>136</v>
      </c>
      <c r="AC50" s="118"/>
      <c r="AD50" s="118"/>
      <c r="AE50" s="118">
        <f>'[2]V rok'!AD58</f>
        <v>50</v>
      </c>
      <c r="AF50" s="118">
        <f>'[2]V rok'!AE58</f>
        <v>2</v>
      </c>
    </row>
    <row r="51" spans="1:32" ht="24.75" customHeight="1">
      <c r="A51" s="802"/>
      <c r="B51" s="118" t="s">
        <v>213</v>
      </c>
      <c r="C51" s="112" t="str">
        <f>'[2]V rok'!B59</f>
        <v>Elektrokardiografia</v>
      </c>
      <c r="D51" s="133" t="str">
        <f>'V rok'!C59</f>
        <v>0912-7LEK-F45-E</v>
      </c>
      <c r="E51" s="114"/>
      <c r="F51" s="115">
        <f>'[2]V rok'!E59</f>
        <v>9</v>
      </c>
      <c r="G51" s="116"/>
      <c r="H51" s="117" t="s">
        <v>128</v>
      </c>
      <c r="I51" s="118" t="s">
        <v>136</v>
      </c>
      <c r="J51" s="118" t="s">
        <v>136</v>
      </c>
      <c r="K51" s="118">
        <f>'[2]V rok'!J59</f>
        <v>10</v>
      </c>
      <c r="L51" s="118"/>
      <c r="M51" s="118"/>
      <c r="N51" s="118"/>
      <c r="O51" s="118"/>
      <c r="P51" s="116" t="s">
        <v>233</v>
      </c>
      <c r="Q51" s="117"/>
      <c r="R51" s="118"/>
      <c r="S51" s="118"/>
      <c r="T51" s="118"/>
      <c r="U51" s="118"/>
      <c r="V51" s="118"/>
      <c r="W51" s="118"/>
      <c r="X51" s="118"/>
      <c r="Y51" s="116"/>
      <c r="Z51" s="117" t="s">
        <v>191</v>
      </c>
      <c r="AA51" s="118" t="s">
        <v>128</v>
      </c>
      <c r="AB51" s="118" t="s">
        <v>136</v>
      </c>
      <c r="AC51" s="118"/>
      <c r="AD51" s="118"/>
      <c r="AE51" s="118">
        <f>'[2]V rok'!AD59</f>
        <v>50</v>
      </c>
      <c r="AF51" s="118">
        <f>'[2]V rok'!AE59</f>
        <v>2</v>
      </c>
    </row>
    <row r="52" spans="1:32" ht="24.75" customHeight="1">
      <c r="A52" s="802"/>
      <c r="B52" s="118" t="s">
        <v>214</v>
      </c>
      <c r="C52" s="112" t="str">
        <f>'[2]V rok'!B60</f>
        <v>Traumatologia dziecięca</v>
      </c>
      <c r="D52" s="133" t="str">
        <f>'V rok'!C60</f>
        <v>0912-7LEK-F46-T</v>
      </c>
      <c r="E52" s="114"/>
      <c r="F52" s="115">
        <f>'[2]V rok'!E60</f>
        <v>9</v>
      </c>
      <c r="G52" s="116"/>
      <c r="H52" s="117" t="s">
        <v>128</v>
      </c>
      <c r="I52" s="118" t="s">
        <v>136</v>
      </c>
      <c r="J52" s="118" t="s">
        <v>136</v>
      </c>
      <c r="K52" s="118">
        <f>'[2]V rok'!J60</f>
        <v>10</v>
      </c>
      <c r="L52" s="118"/>
      <c r="M52" s="118"/>
      <c r="N52" s="118"/>
      <c r="O52" s="118"/>
      <c r="P52" s="116" t="s">
        <v>233</v>
      </c>
      <c r="Q52" s="117"/>
      <c r="R52" s="118"/>
      <c r="S52" s="118"/>
      <c r="T52" s="118"/>
      <c r="U52" s="118"/>
      <c r="V52" s="118"/>
      <c r="W52" s="118"/>
      <c r="X52" s="118"/>
      <c r="Y52" s="116"/>
      <c r="Z52" s="117" t="s">
        <v>191</v>
      </c>
      <c r="AA52" s="118" t="s">
        <v>128</v>
      </c>
      <c r="AB52" s="118" t="s">
        <v>136</v>
      </c>
      <c r="AC52" s="118"/>
      <c r="AD52" s="118"/>
      <c r="AE52" s="118">
        <f>'[2]V rok'!AD60</f>
        <v>50</v>
      </c>
      <c r="AF52" s="118">
        <f>'[2]V rok'!AE60</f>
        <v>2</v>
      </c>
    </row>
    <row r="53" spans="1:32" ht="24.75" customHeight="1">
      <c r="A53" s="802"/>
      <c r="B53" s="118" t="s">
        <v>215</v>
      </c>
      <c r="C53" s="112" t="str">
        <f>'[2]V rok'!B61</f>
        <v>Diagnostyka obrazowa w stanach nagłych</v>
      </c>
      <c r="D53" s="133" t="str">
        <f>'V rok'!C61</f>
        <v>0912-7LEK-F47-D</v>
      </c>
      <c r="E53" s="114"/>
      <c r="F53" s="115">
        <f>'[2]V rok'!E61</f>
        <v>9</v>
      </c>
      <c r="G53" s="116"/>
      <c r="H53" s="117" t="s">
        <v>128</v>
      </c>
      <c r="I53" s="118" t="s">
        <v>136</v>
      </c>
      <c r="J53" s="118" t="s">
        <v>136</v>
      </c>
      <c r="K53" s="118">
        <f>'[2]V rok'!J61</f>
        <v>10</v>
      </c>
      <c r="L53" s="118"/>
      <c r="M53" s="118"/>
      <c r="N53" s="118"/>
      <c r="O53" s="118"/>
      <c r="P53" s="116" t="s">
        <v>233</v>
      </c>
      <c r="Q53" s="117"/>
      <c r="R53" s="118"/>
      <c r="S53" s="118"/>
      <c r="T53" s="118"/>
      <c r="U53" s="118"/>
      <c r="V53" s="118"/>
      <c r="W53" s="118"/>
      <c r="X53" s="118"/>
      <c r="Y53" s="116"/>
      <c r="Z53" s="117" t="s">
        <v>191</v>
      </c>
      <c r="AA53" s="118" t="s">
        <v>128</v>
      </c>
      <c r="AB53" s="118" t="s">
        <v>136</v>
      </c>
      <c r="AC53" s="118"/>
      <c r="AD53" s="118"/>
      <c r="AE53" s="118">
        <f>'[2]V rok'!AD61</f>
        <v>50</v>
      </c>
      <c r="AF53" s="118">
        <f>'[2]V rok'!AE61</f>
        <v>2</v>
      </c>
    </row>
    <row r="54" spans="1:32" ht="24.75" customHeight="1">
      <c r="A54" s="802"/>
      <c r="B54" s="118" t="s">
        <v>216</v>
      </c>
      <c r="C54" s="112" t="str">
        <f>'[2]V rok'!B62</f>
        <v>Radioterapia</v>
      </c>
      <c r="D54" s="133" t="str">
        <f>'V rok'!C62</f>
        <v>0912-7LEK-F48-R</v>
      </c>
      <c r="E54" s="114"/>
      <c r="F54" s="115">
        <f>'[2]V rok'!E62</f>
        <v>9</v>
      </c>
      <c r="G54" s="116"/>
      <c r="H54" s="117" t="s">
        <v>128</v>
      </c>
      <c r="I54" s="118" t="s">
        <v>136</v>
      </c>
      <c r="J54" s="118" t="s">
        <v>136</v>
      </c>
      <c r="K54" s="118">
        <f>'[2]V rok'!J62</f>
        <v>10</v>
      </c>
      <c r="L54" s="118"/>
      <c r="M54" s="118"/>
      <c r="N54" s="118"/>
      <c r="O54" s="118"/>
      <c r="P54" s="116" t="s">
        <v>233</v>
      </c>
      <c r="Q54" s="117"/>
      <c r="R54" s="118"/>
      <c r="S54" s="118"/>
      <c r="T54" s="118"/>
      <c r="U54" s="118"/>
      <c r="V54" s="118"/>
      <c r="W54" s="118"/>
      <c r="X54" s="118"/>
      <c r="Y54" s="116"/>
      <c r="Z54" s="117" t="s">
        <v>191</v>
      </c>
      <c r="AA54" s="118" t="s">
        <v>128</v>
      </c>
      <c r="AB54" s="118" t="s">
        <v>136</v>
      </c>
      <c r="AC54" s="118"/>
      <c r="AD54" s="118"/>
      <c r="AE54" s="118">
        <f>'[2]V rok'!AD62</f>
        <v>50</v>
      </c>
      <c r="AF54" s="118">
        <f>'[2]V rok'!AE62</f>
        <v>2</v>
      </c>
    </row>
    <row r="55" spans="1:32" ht="24.75" customHeight="1">
      <c r="A55" s="802"/>
      <c r="B55" s="118" t="s">
        <v>217</v>
      </c>
      <c r="C55" s="112" t="str">
        <f>'[2]V rok'!B63</f>
        <v>Znaczenie profili genetycznych w leczeniu onkologicznym</v>
      </c>
      <c r="D55" s="133" t="str">
        <f>'V rok'!C63</f>
        <v>0912-7LEK-F49-Z</v>
      </c>
      <c r="E55" s="114"/>
      <c r="F55" s="115">
        <f>'[2]V rok'!E63</f>
        <v>9</v>
      </c>
      <c r="G55" s="116"/>
      <c r="H55" s="117" t="s">
        <v>128</v>
      </c>
      <c r="I55" s="118" t="s">
        <v>136</v>
      </c>
      <c r="J55" s="118" t="s">
        <v>136</v>
      </c>
      <c r="K55" s="118">
        <f>'[2]V rok'!J63</f>
        <v>10</v>
      </c>
      <c r="L55" s="118"/>
      <c r="M55" s="118"/>
      <c r="N55" s="118"/>
      <c r="O55" s="118"/>
      <c r="P55" s="116" t="s">
        <v>233</v>
      </c>
      <c r="Q55" s="117"/>
      <c r="R55" s="118"/>
      <c r="S55" s="118"/>
      <c r="T55" s="118"/>
      <c r="U55" s="118"/>
      <c r="V55" s="118"/>
      <c r="W55" s="118"/>
      <c r="X55" s="118"/>
      <c r="Y55" s="116"/>
      <c r="Z55" s="117" t="s">
        <v>191</v>
      </c>
      <c r="AA55" s="118" t="s">
        <v>128</v>
      </c>
      <c r="AB55" s="118" t="s">
        <v>136</v>
      </c>
      <c r="AC55" s="118"/>
      <c r="AD55" s="118"/>
      <c r="AE55" s="118">
        <f>'[2]V rok'!AD63</f>
        <v>50</v>
      </c>
      <c r="AF55" s="118">
        <f>'[2]V rok'!AE63</f>
        <v>2</v>
      </c>
    </row>
    <row r="56" spans="1:32" ht="24.75" customHeight="1" thickBot="1">
      <c r="A56" s="802"/>
      <c r="B56" s="118" t="s">
        <v>218</v>
      </c>
      <c r="C56" s="284" t="str">
        <f>'[2]V rok'!B64</f>
        <v>Chirurgia bariatryczna</v>
      </c>
      <c r="D56" s="286" t="str">
        <f>'V rok'!C64</f>
        <v>0912-7LEK-F50-C</v>
      </c>
      <c r="E56" s="147"/>
      <c r="F56" s="148">
        <f>'[2]V rok'!E64</f>
        <v>9</v>
      </c>
      <c r="G56" s="149"/>
      <c r="H56" s="150" t="s">
        <v>128</v>
      </c>
      <c r="I56" s="151" t="s">
        <v>136</v>
      </c>
      <c r="J56" s="118" t="s">
        <v>136</v>
      </c>
      <c r="K56" s="151" t="s">
        <v>128</v>
      </c>
      <c r="L56" s="151"/>
      <c r="M56" s="151"/>
      <c r="N56" s="151"/>
      <c r="O56" s="151"/>
      <c r="P56" s="116" t="s">
        <v>233</v>
      </c>
      <c r="Q56" s="150"/>
      <c r="R56" s="151"/>
      <c r="S56" s="151"/>
      <c r="T56" s="151"/>
      <c r="U56" s="151"/>
      <c r="V56" s="151"/>
      <c r="W56" s="151"/>
      <c r="X56" s="151"/>
      <c r="Y56" s="149"/>
      <c r="Z56" s="117" t="s">
        <v>191</v>
      </c>
      <c r="AA56" s="118" t="s">
        <v>128</v>
      </c>
      <c r="AB56" s="118" t="s">
        <v>136</v>
      </c>
      <c r="AC56" s="151"/>
      <c r="AD56" s="151"/>
      <c r="AE56" s="151">
        <f>'[2]V rok'!AD64</f>
        <v>50</v>
      </c>
      <c r="AF56" s="151">
        <f>'[2]V rok'!AE64</f>
        <v>2</v>
      </c>
    </row>
    <row r="57" spans="1:32" ht="24.75" customHeight="1">
      <c r="A57" s="802"/>
      <c r="B57" s="118" t="s">
        <v>219</v>
      </c>
      <c r="C57" s="152" t="str">
        <f>'[2]V rok'!B65</f>
        <v>Psychiatria dorosłych</v>
      </c>
      <c r="D57" s="287" t="str">
        <f>'V rok'!C65</f>
        <v>0912-7LEK-F51-P</v>
      </c>
      <c r="E57" s="154"/>
      <c r="F57" s="155">
        <f>'[2]V rok'!E65</f>
        <v>9</v>
      </c>
      <c r="G57" s="156"/>
      <c r="H57" s="157"/>
      <c r="I57" s="158"/>
      <c r="J57" s="158" t="s">
        <v>128</v>
      </c>
      <c r="K57" s="158" t="s">
        <v>136</v>
      </c>
      <c r="L57" s="158"/>
      <c r="M57" s="158"/>
      <c r="N57" s="158"/>
      <c r="O57" s="158"/>
      <c r="P57" s="159">
        <f>'[2]V rok'!O65</f>
        <v>1</v>
      </c>
      <c r="Q57" s="154"/>
      <c r="R57" s="158"/>
      <c r="S57" s="158"/>
      <c r="T57" s="158"/>
      <c r="U57" s="158"/>
      <c r="V57" s="158"/>
      <c r="W57" s="158"/>
      <c r="X57" s="158"/>
      <c r="Y57" s="156"/>
      <c r="Z57" s="157" t="s">
        <v>128</v>
      </c>
      <c r="AA57" s="158" t="s">
        <v>128</v>
      </c>
      <c r="AB57" s="158"/>
      <c r="AC57" s="158"/>
      <c r="AD57" s="158"/>
      <c r="AE57" s="158">
        <f>'[2]V rok'!AD65</f>
        <v>25</v>
      </c>
      <c r="AF57" s="158">
        <f>'[2]V rok'!AE65</f>
        <v>1</v>
      </c>
    </row>
    <row r="58" spans="1:32" ht="24.75" customHeight="1">
      <c r="A58" s="802"/>
      <c r="B58" s="118" t="s">
        <v>220</v>
      </c>
      <c r="C58" s="112" t="s">
        <v>262</v>
      </c>
      <c r="D58" s="133" t="str">
        <f>'V rok'!C66</f>
        <v>0912-7LEK-F52-B</v>
      </c>
      <c r="E58" s="114"/>
      <c r="F58" s="115">
        <f>'[2]V rok'!E66</f>
        <v>9</v>
      </c>
      <c r="G58" s="116"/>
      <c r="H58" s="117"/>
      <c r="I58" s="118"/>
      <c r="J58" s="118"/>
      <c r="K58" s="118"/>
      <c r="L58" s="118"/>
      <c r="M58" s="118"/>
      <c r="N58" s="118"/>
      <c r="O58" s="118"/>
      <c r="P58" s="122">
        <f>'[2]V rok'!O66</f>
        <v>1</v>
      </c>
      <c r="Q58" s="114" t="s">
        <v>136</v>
      </c>
      <c r="R58" s="118" t="s">
        <v>128</v>
      </c>
      <c r="S58" s="118"/>
      <c r="T58" s="118"/>
      <c r="U58" s="118"/>
      <c r="V58" s="118"/>
      <c r="W58" s="118"/>
      <c r="X58" s="118"/>
      <c r="Y58" s="116"/>
      <c r="Z58" s="117">
        <f>'[2]V rok'!Y66</f>
        <v>15</v>
      </c>
      <c r="AA58" s="118">
        <f>'[2]V rok'!Z66</f>
        <v>15</v>
      </c>
      <c r="AB58" s="118"/>
      <c r="AC58" s="118"/>
      <c r="AD58" s="118"/>
      <c r="AE58" s="118">
        <f>'[2]V rok'!AD66</f>
        <v>25</v>
      </c>
      <c r="AF58" s="118">
        <f>'[2]V rok'!AE66</f>
        <v>1</v>
      </c>
    </row>
    <row r="59" spans="1:32" ht="24.75" customHeight="1">
      <c r="A59" s="802"/>
      <c r="B59" s="118" t="s">
        <v>221</v>
      </c>
      <c r="C59" s="112" t="str">
        <f>'[2]V rok'!B67</f>
        <v>Metodyka pisania prac naukowych</v>
      </c>
      <c r="D59" s="133" t="str">
        <f>'V rok'!C67</f>
        <v>0912-7LEK-F53-M</v>
      </c>
      <c r="E59" s="114"/>
      <c r="F59" s="115">
        <f>'[2]V rok'!E67</f>
        <v>9</v>
      </c>
      <c r="G59" s="116"/>
      <c r="H59" s="117"/>
      <c r="I59" s="118"/>
      <c r="J59" s="118" t="s">
        <v>128</v>
      </c>
      <c r="K59" s="118" t="s">
        <v>136</v>
      </c>
      <c r="L59" s="118"/>
      <c r="M59" s="118"/>
      <c r="N59" s="118"/>
      <c r="O59" s="118"/>
      <c r="P59" s="122">
        <f>'[2]V rok'!O67</f>
        <v>1</v>
      </c>
      <c r="Q59" s="114"/>
      <c r="R59" s="118"/>
      <c r="S59" s="118"/>
      <c r="T59" s="118"/>
      <c r="U59" s="118"/>
      <c r="V59" s="118"/>
      <c r="W59" s="118"/>
      <c r="X59" s="118"/>
      <c r="Y59" s="116"/>
      <c r="Z59" s="117" t="s">
        <v>128</v>
      </c>
      <c r="AA59" s="118"/>
      <c r="AB59" s="118" t="s">
        <v>128</v>
      </c>
      <c r="AC59" s="118"/>
      <c r="AD59" s="118"/>
      <c r="AE59" s="118">
        <f>'[2]V rok'!AD67</f>
        <v>25</v>
      </c>
      <c r="AF59" s="118">
        <f>'[2]V rok'!AE67</f>
        <v>1</v>
      </c>
    </row>
    <row r="60" spans="1:32" ht="24.75" customHeight="1">
      <c r="A60" s="802"/>
      <c r="B60" s="118" t="s">
        <v>222</v>
      </c>
      <c r="C60" s="112" t="str">
        <f>'[2]V rok'!B68</f>
        <v>Choroby metaboliczne</v>
      </c>
      <c r="D60" s="133" t="e">
        <f>'V rok'!#REF!</f>
        <v>#REF!</v>
      </c>
      <c r="E60" s="114"/>
      <c r="F60" s="115">
        <f>'[2]V rok'!E68</f>
        <v>10</v>
      </c>
      <c r="G60" s="116"/>
      <c r="H60" s="117"/>
      <c r="I60" s="118"/>
      <c r="J60" s="118" t="s">
        <v>128</v>
      </c>
      <c r="K60" s="118" t="s">
        <v>136</v>
      </c>
      <c r="L60" s="118"/>
      <c r="M60" s="118"/>
      <c r="N60" s="118"/>
      <c r="O60" s="118"/>
      <c r="P60" s="122"/>
      <c r="Q60" s="114"/>
      <c r="R60" s="118"/>
      <c r="S60" s="114"/>
      <c r="T60" s="114"/>
      <c r="U60" s="114"/>
      <c r="V60" s="118"/>
      <c r="W60" s="118"/>
      <c r="X60" s="118"/>
      <c r="Y60" s="116">
        <f>'[2]V rok'!X68</f>
        <v>1</v>
      </c>
      <c r="Z60" s="117" t="s">
        <v>128</v>
      </c>
      <c r="AA60" s="118"/>
      <c r="AB60" s="118" t="s">
        <v>128</v>
      </c>
      <c r="AC60" s="118"/>
      <c r="AD60" s="118"/>
      <c r="AE60" s="118">
        <f>'[2]V rok'!AD68</f>
        <v>25</v>
      </c>
      <c r="AF60" s="118">
        <f>'[2]V rok'!AE68</f>
        <v>1</v>
      </c>
    </row>
    <row r="61" spans="1:32" ht="24.75" customHeight="1">
      <c r="A61" s="802"/>
      <c r="B61" s="118" t="s">
        <v>223</v>
      </c>
      <c r="C61" s="112" t="str">
        <f>'[2]V rok'!B69</f>
        <v>Farmakogenetyka</v>
      </c>
      <c r="D61" s="133" t="str">
        <f>'V rok'!C68</f>
        <v>0912-7LEK-F54-F</v>
      </c>
      <c r="E61" s="114"/>
      <c r="F61" s="115">
        <f>'[2]V rok'!E69</f>
        <v>10</v>
      </c>
      <c r="G61" s="116"/>
      <c r="H61" s="117"/>
      <c r="I61" s="118"/>
      <c r="J61" s="118"/>
      <c r="K61" s="118"/>
      <c r="L61" s="118"/>
      <c r="M61" s="118"/>
      <c r="N61" s="118"/>
      <c r="O61" s="118"/>
      <c r="P61" s="122"/>
      <c r="Q61" s="114">
        <f>'[2]V rok'!P69</f>
        <v>15</v>
      </c>
      <c r="R61" s="118">
        <f>'[2]V rok'!Q69</f>
        <v>10</v>
      </c>
      <c r="S61" s="118"/>
      <c r="T61" s="118"/>
      <c r="U61" s="118"/>
      <c r="V61" s="118"/>
      <c r="W61" s="118"/>
      <c r="X61" s="118"/>
      <c r="Y61" s="116">
        <f>'[2]V rok'!X69</f>
        <v>1</v>
      </c>
      <c r="Z61" s="117">
        <f>'[2]V rok'!Y69</f>
        <v>15</v>
      </c>
      <c r="AA61" s="118">
        <f>'[2]V rok'!Z69</f>
        <v>15</v>
      </c>
      <c r="AB61" s="118"/>
      <c r="AC61" s="118"/>
      <c r="AD61" s="118"/>
      <c r="AE61" s="118">
        <f>'[2]V rok'!AD69</f>
        <v>25</v>
      </c>
      <c r="AF61" s="118">
        <f>'[2]V rok'!AE69</f>
        <v>1</v>
      </c>
    </row>
    <row r="62" spans="1:32" ht="24.75" customHeight="1">
      <c r="A62" s="802"/>
      <c r="B62" s="118" t="s">
        <v>224</v>
      </c>
      <c r="C62" s="112" t="str">
        <f>'[2]V rok'!B70</f>
        <v>Psychiatria dzieci i młodzieży</v>
      </c>
      <c r="D62" s="133" t="str">
        <f>'V rok'!C69</f>
        <v>0912-7LEK-F55-P</v>
      </c>
      <c r="E62" s="114"/>
      <c r="F62" s="115">
        <f>'[2]V rok'!E70</f>
        <v>10</v>
      </c>
      <c r="G62" s="116"/>
      <c r="H62" s="117"/>
      <c r="I62" s="118"/>
      <c r="J62" s="118" t="s">
        <v>128</v>
      </c>
      <c r="K62" s="118" t="s">
        <v>136</v>
      </c>
      <c r="L62" s="118"/>
      <c r="M62" s="118"/>
      <c r="N62" s="118"/>
      <c r="O62" s="118"/>
      <c r="P62" s="122"/>
      <c r="Q62" s="114"/>
      <c r="R62" s="118"/>
      <c r="S62" s="118"/>
      <c r="T62" s="118"/>
      <c r="U62" s="118"/>
      <c r="V62" s="118"/>
      <c r="W62" s="118"/>
      <c r="X62" s="118"/>
      <c r="Y62" s="116">
        <f>'[2]V rok'!X70</f>
        <v>1</v>
      </c>
      <c r="Z62" s="117" t="s">
        <v>128</v>
      </c>
      <c r="AA62" s="118" t="s">
        <v>128</v>
      </c>
      <c r="AB62" s="118"/>
      <c r="AC62" s="118"/>
      <c r="AD62" s="118"/>
      <c r="AE62" s="118">
        <f>'[2]V rok'!AD70</f>
        <v>25</v>
      </c>
      <c r="AF62" s="118">
        <f>'[2]V rok'!AE70</f>
        <v>1</v>
      </c>
    </row>
    <row r="63" spans="1:32" ht="24.75" customHeight="1">
      <c r="A63" s="803"/>
      <c r="B63" s="118" t="s">
        <v>225</v>
      </c>
      <c r="C63" s="112" t="str">
        <f>'[2]V rok'!B71</f>
        <v>Radiologia w pediatrii</v>
      </c>
      <c r="D63" s="133" t="e">
        <f>'V rok'!#REF!</f>
        <v>#REF!</v>
      </c>
      <c r="E63" s="114"/>
      <c r="F63" s="115">
        <f>'[2]V rok'!E71</f>
        <v>10</v>
      </c>
      <c r="G63" s="116"/>
      <c r="H63" s="117"/>
      <c r="I63" s="118"/>
      <c r="J63" s="118" t="s">
        <v>128</v>
      </c>
      <c r="K63" s="118" t="s">
        <v>136</v>
      </c>
      <c r="L63" s="118"/>
      <c r="M63" s="118"/>
      <c r="N63" s="118"/>
      <c r="O63" s="118"/>
      <c r="P63" s="122"/>
      <c r="Q63" s="114"/>
      <c r="R63" s="118"/>
      <c r="S63" s="118"/>
      <c r="T63" s="118"/>
      <c r="U63" s="118"/>
      <c r="V63" s="118"/>
      <c r="W63" s="118"/>
      <c r="X63" s="118"/>
      <c r="Y63" s="116">
        <f>'[2]V rok'!X71</f>
        <v>1</v>
      </c>
      <c r="Z63" s="117" t="s">
        <v>128</v>
      </c>
      <c r="AA63" s="118" t="s">
        <v>136</v>
      </c>
      <c r="AB63" s="118"/>
      <c r="AC63" s="118"/>
      <c r="AD63" s="118"/>
      <c r="AE63" s="118">
        <f>'[2]V rok'!AD71</f>
        <v>25</v>
      </c>
      <c r="AF63" s="118">
        <f>'[2]V rok'!AE71</f>
        <v>1</v>
      </c>
    </row>
    <row r="64" spans="1:32" ht="196.5" customHeight="1">
      <c r="A64" s="285" t="s">
        <v>158</v>
      </c>
      <c r="B64" s="118" t="s">
        <v>226</v>
      </c>
      <c r="C64" s="121" t="s">
        <v>256</v>
      </c>
      <c r="D64" s="133" t="str">
        <f>'V rok'!C71</f>
        <v>0912-7LEK-F57-Z</v>
      </c>
      <c r="E64" s="114"/>
      <c r="F64" s="115" t="str">
        <f>'[2]V rok'!E72</f>
        <v>9-12</v>
      </c>
      <c r="G64" s="116"/>
      <c r="H64" s="117">
        <f>'[2]V rok'!G72</f>
        <v>0</v>
      </c>
      <c r="I64" s="118">
        <f>'[2]V rok'!H72</f>
        <v>0</v>
      </c>
      <c r="J64" s="118">
        <f>'[2]V rok'!I72</f>
        <v>45</v>
      </c>
      <c r="K64" s="118">
        <f>'[2]V rok'!J72</f>
        <v>30</v>
      </c>
      <c r="L64" s="118"/>
      <c r="M64" s="118"/>
      <c r="N64" s="118"/>
      <c r="O64" s="118"/>
      <c r="P64" s="116">
        <f>'[2]V rok'!O72</f>
        <v>3</v>
      </c>
      <c r="Q64" s="117"/>
      <c r="R64" s="118"/>
      <c r="S64" s="118">
        <f>'[2]V rok'!R72</f>
        <v>30</v>
      </c>
      <c r="T64" s="118">
        <f>'[2]V rok'!S72</f>
        <v>20</v>
      </c>
      <c r="U64" s="118"/>
      <c r="V64" s="118"/>
      <c r="W64" s="118"/>
      <c r="X64" s="118"/>
      <c r="Y64" s="116">
        <f>'[2]V rok'!X72</f>
        <v>2</v>
      </c>
      <c r="Z64" s="117">
        <f>'[2]V rok'!Y72</f>
        <v>75</v>
      </c>
      <c r="AA64" s="118">
        <f>'[2]V rok'!Z72</f>
        <v>0</v>
      </c>
      <c r="AB64" s="118">
        <f>'[2]V rok'!AA72</f>
        <v>75</v>
      </c>
      <c r="AC64" s="118"/>
      <c r="AD64" s="118"/>
      <c r="AE64" s="118">
        <f>'[2]V rok'!AD72</f>
        <v>125</v>
      </c>
      <c r="AF64" s="118">
        <f>'[2]V rok'!AE72</f>
        <v>5</v>
      </c>
    </row>
    <row r="65" spans="1:32" ht="27" customHeight="1">
      <c r="A65" s="285"/>
      <c r="B65" s="118" t="s">
        <v>311</v>
      </c>
      <c r="C65" s="121" t="s">
        <v>317</v>
      </c>
      <c r="D65" s="133" t="str">
        <f>'V rok'!C70</f>
        <v>0912-7LEK-F54-Pk</v>
      </c>
      <c r="E65" s="114"/>
      <c r="F65" s="115" t="s">
        <v>128</v>
      </c>
      <c r="G65" s="116"/>
      <c r="H65" s="117"/>
      <c r="I65" s="118"/>
      <c r="J65" s="118"/>
      <c r="K65" s="118"/>
      <c r="L65" s="118"/>
      <c r="M65" s="118"/>
      <c r="N65" s="118"/>
      <c r="O65" s="118"/>
      <c r="P65" s="122"/>
      <c r="Q65" s="117" t="s">
        <v>136</v>
      </c>
      <c r="R65" s="118" t="s">
        <v>128</v>
      </c>
      <c r="S65" s="118"/>
      <c r="T65" s="118"/>
      <c r="U65" s="118"/>
      <c r="V65" s="118"/>
      <c r="W65" s="118"/>
      <c r="X65" s="118"/>
      <c r="Y65" s="116" t="s">
        <v>232</v>
      </c>
      <c r="Z65" s="117" t="s">
        <v>136</v>
      </c>
      <c r="AA65" s="118" t="s">
        <v>136</v>
      </c>
      <c r="AB65" s="118"/>
      <c r="AC65" s="118"/>
      <c r="AD65" s="118"/>
      <c r="AE65" s="118" t="s">
        <v>191</v>
      </c>
      <c r="AF65" s="118" t="s">
        <v>232</v>
      </c>
    </row>
    <row r="66" spans="1:32" ht="204" customHeight="1">
      <c r="A66" s="304" t="s">
        <v>192</v>
      </c>
      <c r="B66" s="118" t="s">
        <v>346</v>
      </c>
      <c r="C66" s="121" t="s">
        <v>255</v>
      </c>
      <c r="D66" s="133">
        <f>'VI rok'!$C$24</f>
        <v>0</v>
      </c>
      <c r="E66" s="114"/>
      <c r="F66" s="118" t="str">
        <f>'[2]VI rok'!E23</f>
        <v>11-12</v>
      </c>
      <c r="G66" s="116"/>
      <c r="H66" s="117">
        <f>'[2]VI rok'!G23</f>
        <v>0</v>
      </c>
      <c r="I66" s="118">
        <f>'[2]VI rok'!H23</f>
        <v>0</v>
      </c>
      <c r="J66" s="118">
        <f>'[2]VI rok'!I23</f>
        <v>30</v>
      </c>
      <c r="K66" s="118">
        <f>'[2]VI rok'!J23</f>
        <v>20</v>
      </c>
      <c r="L66" s="118"/>
      <c r="M66" s="118"/>
      <c r="N66" s="118"/>
      <c r="O66" s="118"/>
      <c r="P66" s="122">
        <f>'[2]VI rok'!O23</f>
        <v>2</v>
      </c>
      <c r="Q66" s="114"/>
      <c r="R66" s="118"/>
      <c r="S66" s="118">
        <f>'[2]VI rok'!R23</f>
        <v>30</v>
      </c>
      <c r="T66" s="118">
        <f>'[2]VI rok'!S23</f>
        <v>20</v>
      </c>
      <c r="U66" s="118"/>
      <c r="V66" s="118"/>
      <c r="W66" s="118"/>
      <c r="X66" s="118"/>
      <c r="Y66" s="116">
        <f>'[2]VI rok'!X23</f>
        <v>2</v>
      </c>
      <c r="Z66" s="117">
        <f>'[2]VI rok'!Y23</f>
        <v>60</v>
      </c>
      <c r="AA66" s="118">
        <f>'[2]VI rok'!Z23</f>
        <v>0</v>
      </c>
      <c r="AB66" s="118">
        <f>'[2]VI rok'!AA23</f>
        <v>60</v>
      </c>
      <c r="AC66" s="118"/>
      <c r="AD66" s="118"/>
      <c r="AE66" s="118">
        <f>'[2]VI rok'!AD23</f>
        <v>100</v>
      </c>
      <c r="AF66" s="118">
        <f>'[2]VI rok'!AE23</f>
        <v>4</v>
      </c>
    </row>
  </sheetData>
  <mergeCells count="37">
    <mergeCell ref="A43:A63"/>
    <mergeCell ref="B43:AF43"/>
    <mergeCell ref="A12:A20"/>
    <mergeCell ref="B12:AF12"/>
    <mergeCell ref="A22:A32"/>
    <mergeCell ref="B22:AF22"/>
    <mergeCell ref="A33:A42"/>
    <mergeCell ref="B33:AF33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18</vt:i4>
      </vt:variant>
    </vt:vector>
  </HeadingPairs>
  <TitlesOfParts>
    <vt:vector size="29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Raczyńska</cp:lastModifiedBy>
  <cp:lastPrinted>2021-10-28T08:34:04Z</cp:lastPrinted>
  <dcterms:created xsi:type="dcterms:W3CDTF">2010-12-06T08:38:47Z</dcterms:created>
  <dcterms:modified xsi:type="dcterms:W3CDTF">2022-11-07T11:05:59Z</dcterms:modified>
</cp:coreProperties>
</file>